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4"/>
  </bookViews>
  <sheets>
    <sheet name="Stavební rozpočet" sheetId="1" r:id="rId1"/>
    <sheet name="Výkaz výměr" sheetId="2" r:id="rId2"/>
    <sheet name="Harmonogram" sheetId="3" r:id="rId3"/>
    <sheet name="Čerpání rozpočtu a fakturace" sheetId="4" r:id="rId4"/>
    <sheet name="Krycí list rozpočtu" sheetId="5" r:id="rId5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<sst xmlns="http://schemas.openxmlformats.org/spreadsheetml/2006/main" count="997" uniqueCount="352">
  <si>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</si>
  <si>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</si>
  <si>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</si>
  <si>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</si>
  <si>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</si>
  <si>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</si>
  <si>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</si>
  <si>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</si>
  <si>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</si>
  <si>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</si>
  <si>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</si>
  <si>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</si>
  <si>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</si>
  <si>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</si>
  <si>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</si>
  <si>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</si>
  <si>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</si>
  <si>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</si>
  <si>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</si>
  <si>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</si>
  <si>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</si>
  <si>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</si>
  <si>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</si>
  <si>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</si>
  <si>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</si>
  <si>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</si>
  <si>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</si>
  <si>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</si>
  <si>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</si>
  <si>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</si>
  <si>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</si>
  <si>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</si>
  <si>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</si>
  <si>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</si>
  <si>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</si>
  <si>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</si>
  <si>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</si>
  <si>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</si>
  <si>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</si>
  <si>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</si>
  <si>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</si>
  <si>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</si>
  <si>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</si>
  <si>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</si>
  <si>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</si>
  <si>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</si>
  <si>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</si>
  <si>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</si>
  <si>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</si>
  <si>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</si>
  <si>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</si>
  <si>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</si>
  <si>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</si>
  <si>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</si>
  <si>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</si>
  <si>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</si>
  <si>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</si>
  <si>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</si>
  <si>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</si>
  <si>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</si>
  <si>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</si>
  <si>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</si>
  <si>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</si>
  <si>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Poznámka:</t>
  </si>
  <si>
    <t>Objekt</t>
  </si>
  <si>
    <t>Kód</t>
  </si>
  <si>
    <t>289902111R00</t>
  </si>
  <si>
    <t>60</t>
  </si>
  <si>
    <t>602011121RT5</t>
  </si>
  <si>
    <t>602011141RT3</t>
  </si>
  <si>
    <t>61</t>
  </si>
  <si>
    <t>614471715R00</t>
  </si>
  <si>
    <t>612403380RT1</t>
  </si>
  <si>
    <t>612481211RT2</t>
  </si>
  <si>
    <t>63</t>
  </si>
  <si>
    <t>632411107RT3</t>
  </si>
  <si>
    <t>631312411R00</t>
  </si>
  <si>
    <t>631311131R00</t>
  </si>
  <si>
    <t>711</t>
  </si>
  <si>
    <t>711212000R00</t>
  </si>
  <si>
    <t>711212002RT2</t>
  </si>
  <si>
    <t>711212601RT3</t>
  </si>
  <si>
    <t>722</t>
  </si>
  <si>
    <t>722161928R00</t>
  </si>
  <si>
    <t>722290825R00</t>
  </si>
  <si>
    <t>722110925R00</t>
  </si>
  <si>
    <t>722170911R00</t>
  </si>
  <si>
    <t>728</t>
  </si>
  <si>
    <t>728618214R00</t>
  </si>
  <si>
    <t>735</t>
  </si>
  <si>
    <t>735131115R00</t>
  </si>
  <si>
    <t>766</t>
  </si>
  <si>
    <t>766810010RAE</t>
  </si>
  <si>
    <t>771</t>
  </si>
  <si>
    <t>771101210RT1</t>
  </si>
  <si>
    <t>771575113R00</t>
  </si>
  <si>
    <t>771577113RS2</t>
  </si>
  <si>
    <t>771950010RA0</t>
  </si>
  <si>
    <t>776</t>
  </si>
  <si>
    <t>776590050RAD</t>
  </si>
  <si>
    <t>781</t>
  </si>
  <si>
    <t>781210121R00</t>
  </si>
  <si>
    <t>781421013R00</t>
  </si>
  <si>
    <t>781900010RA0</t>
  </si>
  <si>
    <t>784</t>
  </si>
  <si>
    <t>784402803R00</t>
  </si>
  <si>
    <t>784111101R00</t>
  </si>
  <si>
    <t>784125722R00</t>
  </si>
  <si>
    <t>96</t>
  </si>
  <si>
    <t>965081813RT3</t>
  </si>
  <si>
    <t>967023693R00</t>
  </si>
  <si>
    <t>965048515R00</t>
  </si>
  <si>
    <t>962031116R00</t>
  </si>
  <si>
    <t>97</t>
  </si>
  <si>
    <t>976082141R00</t>
  </si>
  <si>
    <t>971033691R00</t>
  </si>
  <si>
    <t>99</t>
  </si>
  <si>
    <t>992124112R00</t>
  </si>
  <si>
    <t>H01</t>
  </si>
  <si>
    <t>998011001R00</t>
  </si>
  <si>
    <t>M21</t>
  </si>
  <si>
    <t>210010351RT1</t>
  </si>
  <si>
    <t>210010352R00</t>
  </si>
  <si>
    <t>210010353R00</t>
  </si>
  <si>
    <t>210010361R00</t>
  </si>
  <si>
    <t>59761001</t>
  </si>
  <si>
    <t>55162362.A</t>
  </si>
  <si>
    <t>55167397.A</t>
  </si>
  <si>
    <t>55147032</t>
  </si>
  <si>
    <t>55145416</t>
  </si>
  <si>
    <t>55423048.A</t>
  </si>
  <si>
    <t>55440003</t>
  </si>
  <si>
    <t>64234658</t>
  </si>
  <si>
    <t>55330425</t>
  </si>
  <si>
    <t>553407013</t>
  </si>
  <si>
    <t>286538021</t>
  </si>
  <si>
    <t>55144135</t>
  </si>
  <si>
    <t>28348238</t>
  </si>
  <si>
    <t>Horní Dvořiště</t>
  </si>
  <si>
    <t>Zkrácený popis</t>
  </si>
  <si>
    <t>Rozměry</t>
  </si>
  <si>
    <t>Zpevňování hornin a konstrukcí</t>
  </si>
  <si>
    <t>Otlučení nebo odsekání omítek stěn</t>
  </si>
  <si>
    <t>Omítky ze suchých směsí</t>
  </si>
  <si>
    <t>Omítka jádrová sanační Cemix 084, ručně</t>
  </si>
  <si>
    <t>Štuk na stěnách a stropech vnitřní Cemix 033, ručně</t>
  </si>
  <si>
    <t>Úprava povrchů vnitřní</t>
  </si>
  <si>
    <t>Vyspravení beton. konstrukcí - adhézní můstek</t>
  </si>
  <si>
    <t>Hrubá výplň rýh ve stěnách do 3x3 cm maltou ze SMS</t>
  </si>
  <si>
    <t>Montáž výztužné sítě(perlinky)do stěrky-vnit.stěny</t>
  </si>
  <si>
    <t>Podlahy a podlahové konstrukce</t>
  </si>
  <si>
    <t>Samonivelační stěrka Cemix, ruč.zpracování tl.7 mm</t>
  </si>
  <si>
    <t>Vybourání stávající podlahy a zřízení nové</t>
  </si>
  <si>
    <t>Betonáž plošiny s úpravou protiskluzovou úpravou</t>
  </si>
  <si>
    <t>Izolace proti vodě</t>
  </si>
  <si>
    <t>Penetrace podkladu pod hydroizolační nátěr,vč.dod.</t>
  </si>
  <si>
    <t>Hydroizolační povlak - nátěr nebo stěrka</t>
  </si>
  <si>
    <t>Těsnicí pás do spoje podlaha - stěna</t>
  </si>
  <si>
    <t>Vnitřní vodovod</t>
  </si>
  <si>
    <t>Vsazení odbočky do stáv.vodovod. potrubí D 54</t>
  </si>
  <si>
    <t>Kompletace zařizovacích předmětů</t>
  </si>
  <si>
    <t>Propojení dosavadního potrubí ke kuchňské lince</t>
  </si>
  <si>
    <t>Novérozvody vody pro připojení kuchyňské linky</t>
  </si>
  <si>
    <t>Vzduchotechnika</t>
  </si>
  <si>
    <t>Rozvody vzduchotechniky vč vyústění z objektu</t>
  </si>
  <si>
    <t>Otopná tělesa</t>
  </si>
  <si>
    <t>Montáž otopných těles Radik RC VKU typ 20 v. 500 dl. 800</t>
  </si>
  <si>
    <t>Konstrukce truhlářské</t>
  </si>
  <si>
    <t>Kuchyňské linky vč. dřezu, baterie, sporáku dodávka a montáž</t>
  </si>
  <si>
    <t>Podlahy z dlaždic</t>
  </si>
  <si>
    <t>Penetrace podkladu pod dlažby</t>
  </si>
  <si>
    <t>Montáž podlah keram.,hladké, tmel, 30x30 cm</t>
  </si>
  <si>
    <t>Lišta hliníková přechodová, stejná výška dlaždic</t>
  </si>
  <si>
    <t>Odstranění stávající dlažby</t>
  </si>
  <si>
    <t>Podlahy povlakové</t>
  </si>
  <si>
    <t>Výměna povlakové podlahy z plochy, PVC</t>
  </si>
  <si>
    <t>Obklady (keramické)</t>
  </si>
  <si>
    <t>Obkládání stěn obkl. pórovin. do tmele do 150x150</t>
  </si>
  <si>
    <t>Obklad dle výběru investora</t>
  </si>
  <si>
    <t>Odsekání obkladů vnitřních</t>
  </si>
  <si>
    <t>Malby</t>
  </si>
  <si>
    <t>Odstranění malby oškrábáním v místnosti H do 8 m</t>
  </si>
  <si>
    <t>Penetrace podkladu nátěrem</t>
  </si>
  <si>
    <t>Malba Jupol Ekonomik, bar.,bez penetrace,2x</t>
  </si>
  <si>
    <t>Bourání konstrukcí</t>
  </si>
  <si>
    <t>Bourání dlažeb keramických, nad 1 m2</t>
  </si>
  <si>
    <t>Přisekání bet. nebo jiných, ploch nad 2 m2 po vybourání dlažeb koupelna</t>
  </si>
  <si>
    <t>Broušení betonových povrchů do tl. 5 mm</t>
  </si>
  <si>
    <t>Bourání příček z cihel  tl. 140 mm</t>
  </si>
  <si>
    <t>Prorážení otvorů a ostatní bourací práce</t>
  </si>
  <si>
    <t>Vybourání stávající koupelny</t>
  </si>
  <si>
    <t>Vybourání otv. zeď cihel. pl.,  MVC vč podchycení překladů</t>
  </si>
  <si>
    <t>Přesun hmot</t>
  </si>
  <si>
    <t>Vodorovný přesun demolič. materiálu na skládku vč. naloženído 10 t</t>
  </si>
  <si>
    <t>Budovy občanské výstavby</t>
  </si>
  <si>
    <t>Přesun hmot pro budovy zděné výšky do 6 m</t>
  </si>
  <si>
    <t>Elektromontáže</t>
  </si>
  <si>
    <t>Rozvod elektro vč. dodávky, připojení do rozvaděče a zasekání do zdiva</t>
  </si>
  <si>
    <t>Rozvaděč</t>
  </si>
  <si>
    <t>Revizní zpráva</t>
  </si>
  <si>
    <t>Světlo podhledové 15 W</t>
  </si>
  <si>
    <t>Ostatní materiál</t>
  </si>
  <si>
    <t>Dlažba dle výběru investora</t>
  </si>
  <si>
    <t>HL204 trubka pro excentrické připojení WC DN100</t>
  </si>
  <si>
    <t>Sedátko klozetové z PH LUKAS/RIGO/DINO č. 9337.0</t>
  </si>
  <si>
    <t>Splachovač nádržkový z PH úsporný T-2454 S</t>
  </si>
  <si>
    <t>Baterie sprchová nástěnná polohovací</t>
  </si>
  <si>
    <t>Sprchová vanička akrylát. Taurus 90x90x14 cm 32 l</t>
  </si>
  <si>
    <t>Madlo rovné s krytkami 500 mm bílé</t>
  </si>
  <si>
    <t>Klozet stojící kombin. odpad vodor</t>
  </si>
  <si>
    <t>Zárubeň ocelová YH150   900x1970x150 P</t>
  </si>
  <si>
    <t>Dveře s protip. odolností EW 30DP3 - 900x1970 L,P</t>
  </si>
  <si>
    <t>Dveře CDM.d - 900x1970 L,P</t>
  </si>
  <si>
    <t>Elektrokotel vč bojleru</t>
  </si>
  <si>
    <t>Umyvadlo vč.baterie umyvadlová CERAPLUS B 8223 AA</t>
  </si>
  <si>
    <t>Rozvod vnitřní kanalizace vč. napojení do stávající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</si>
  <si>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</si>
  <si>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</si>
  <si>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</si>
  <si>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</si>
  <si>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</si>
  <si>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</si>
  <si>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</si>
  <si>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m3</t>
  </si>
  <si>
    <t>kpl</t>
  </si>
  <si>
    <t>kus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</si>
  <si>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</si>
  <si>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</si>
  <si>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</si>
  <si>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</si>
  <si>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</si>
  <si>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</si>
  <si>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</si>
  <si>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</si>
  <si>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</si>
  <si>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</si>
  <si>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Obec Horní Dvořiště</t>
  </si>
  <si>
    <t> </t>
  </si>
  <si>
    <t>Montáž</t>
  </si>
  <si>
    <t>Celkem</t>
  </si>
  <si>
    <t>Hmotnost (t)</t>
  </si>
  <si>
    <t>Jednot.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</si>
  <si>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</si>
  <si>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</si>
  <si>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</si>
  <si>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</si>
  <si>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</si>
  <si>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</si>
  <si>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</si>
  <si>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</si>
  <si>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</si>
  <si>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</si>
  <si>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</si>
  <si>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</si>
  <si>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</si>
  <si>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28_</t>
  </si>
  <si>
    <t>60_</t>
  </si>
  <si>
    <t>61_</t>
  </si>
  <si>
    <t>63_</t>
  </si>
  <si>
    <t>711_</t>
  </si>
  <si>
    <t>722_</t>
  </si>
  <si>
    <t>728_</t>
  </si>
  <si>
    <t>735_</t>
  </si>
  <si>
    <t>766_</t>
  </si>
  <si>
    <t>771_</t>
  </si>
  <si>
    <t>776_</t>
  </si>
  <si>
    <t>781_</t>
  </si>
  <si>
    <t>784_</t>
  </si>
  <si>
    <t>96_</t>
  </si>
  <si>
    <t>97_</t>
  </si>
  <si>
    <t>99_</t>
  </si>
  <si>
    <t>H01_</t>
  </si>
  <si>
    <t>M21_</t>
  </si>
  <si>
    <t>Z99999_</t>
  </si>
  <si>
    <t>2_</t>
  </si>
  <si>
    <t>6_</t>
  </si>
  <si>
    <t>71_</t>
  </si>
  <si>
    <t>72_</t>
  </si>
  <si>
    <t>73_</t>
  </si>
  <si>
    <t>76_</t>
  </si>
  <si>
    <t>77_</t>
  </si>
  <si>
    <t>78_</t>
  </si>
  <si>
    <t>9_</t>
  </si>
  <si>
    <t>Z_</t>
  </si>
  <si>
    <t>_</t>
  </si>
  <si>
    <t>MAT</t>
  </si>
  <si>
    <t>WORK</t>
  </si>
  <si>
    <t>CELK</t>
  </si>
  <si>
    <t>ISWORK</t>
  </si>
  <si>
    <t>P</t>
  </si>
  <si>
    <t>M</t>
  </si>
  <si>
    <t>GROUPCODE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</si>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</sst>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right" vertical="center"/>
      <protection/>
    </xf>
    <xf numFmtId="4" fontId="8" fillId="33" borderId="40" xfId="0" applyNumberFormat="1" applyFont="1" applyFill="1" applyBorder="1" applyAlignment="1" applyProtection="1">
      <alignment horizontal="right" vertical="center"/>
      <protection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41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8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6" fillId="0" borderId="42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4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43" xfId="0" applyNumberFormat="1" applyFont="1" applyFill="1" applyBorder="1" applyAlignment="1" applyProtection="1">
      <alignment horizontal="right" vertical="center"/>
      <protection/>
    </xf>
    <xf numFmtId="49" fontId="12" fillId="0" borderId="43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4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49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49" fontId="13" fillId="0" borderId="63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63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1" fillId="34" borderId="63" xfId="0" applyNumberFormat="1" applyFont="1" applyFill="1" applyBorder="1" applyAlignment="1" applyProtection="1">
      <alignment horizontal="left" vertical="center"/>
      <protection/>
    </xf>
    <xf numFmtId="0" fontId="11" fillId="34" borderId="62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6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9"/>
  <sheetViews>
    <sheetView zoomScalePageLayoutView="0" workbookViewId="0" topLeftCell="A1">
      <pane ySplit="11" topLeftCell="A93" activePane="bottomLeft" state="frozen"/>
      <selection pane="topLeft" activeCell="A1" sqref="A1"/>
      <selection pane="bottomLeft" activeCell="G86" sqref="G86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61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4" width="12.140625" style="0" hidden="1" customWidth="1"/>
  </cols>
  <sheetData>
    <row r="1" spans="1:13" ht="72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ht="12.75">
      <c r="A2" s="101" t="s">
        <v>1</v>
      </c>
      <c r="B2" s="102"/>
      <c r="C2" s="102"/>
      <c r="D2" s="105"/>
      <c r="E2" s="107" t="s">
        <v>216</v>
      </c>
      <c r="F2" s="102"/>
      <c r="G2" s="107" t="s">
        <v>6</v>
      </c>
      <c r="H2" s="108" t="s">
        <v>229</v>
      </c>
      <c r="I2" s="108" t="s">
        <v>236</v>
      </c>
      <c r="J2" s="102"/>
      <c r="K2" s="102"/>
      <c r="L2" s="102"/>
      <c r="M2" s="109"/>
      <c r="N2" s="38"/>
    </row>
    <row r="3" spans="1:14" ht="12.75">
      <c r="A3" s="103"/>
      <c r="B3" s="104"/>
      <c r="C3" s="104"/>
      <c r="D3" s="106"/>
      <c r="E3" s="104"/>
      <c r="F3" s="104"/>
      <c r="G3" s="104"/>
      <c r="H3" s="104"/>
      <c r="I3" s="104"/>
      <c r="J3" s="104"/>
      <c r="K3" s="104"/>
      <c r="L3" s="104"/>
      <c r="M3" s="110"/>
      <c r="N3" s="38"/>
    </row>
    <row r="4" spans="1:14" ht="12.75">
      <c r="A4" s="111" t="s">
        <v>2</v>
      </c>
      <c r="B4" s="104"/>
      <c r="C4" s="104"/>
      <c r="D4" s="112" t="s">
        <v>6</v>
      </c>
      <c r="E4" s="113" t="s">
        <v>217</v>
      </c>
      <c r="F4" s="104"/>
      <c r="G4" s="113"/>
      <c r="H4" s="112" t="s">
        <v>230</v>
      </c>
      <c r="I4" s="113" t="s">
        <v>237</v>
      </c>
      <c r="J4" s="104"/>
      <c r="K4" s="104"/>
      <c r="L4" s="104"/>
      <c r="M4" s="110"/>
      <c r="N4" s="38"/>
    </row>
    <row r="5" spans="1:14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10"/>
      <c r="N5" s="38"/>
    </row>
    <row r="6" spans="1:14" ht="12.75">
      <c r="A6" s="111" t="s">
        <v>3</v>
      </c>
      <c r="B6" s="104"/>
      <c r="C6" s="104"/>
      <c r="D6" s="112" t="s">
        <v>138</v>
      </c>
      <c r="E6" s="113" t="s">
        <v>218</v>
      </c>
      <c r="F6" s="104"/>
      <c r="G6" s="113" t="s">
        <v>6</v>
      </c>
      <c r="H6" s="112" t="s">
        <v>231</v>
      </c>
      <c r="I6" s="112"/>
      <c r="J6" s="104"/>
      <c r="K6" s="104"/>
      <c r="L6" s="104"/>
      <c r="M6" s="110"/>
      <c r="N6" s="38"/>
    </row>
    <row r="7" spans="1:14" ht="12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10"/>
      <c r="N7" s="38"/>
    </row>
    <row r="8" spans="1:14" ht="12.75">
      <c r="A8" s="111" t="s">
        <v>4</v>
      </c>
      <c r="B8" s="104"/>
      <c r="C8" s="104"/>
      <c r="D8" s="112" t="s">
        <v>6</v>
      </c>
      <c r="E8" s="113" t="s">
        <v>219</v>
      </c>
      <c r="F8" s="104"/>
      <c r="G8" s="113"/>
      <c r="H8" s="112" t="s">
        <v>232</v>
      </c>
      <c r="I8" s="112"/>
      <c r="J8" s="104"/>
      <c r="K8" s="104"/>
      <c r="L8" s="104"/>
      <c r="M8" s="110"/>
      <c r="N8" s="38"/>
    </row>
    <row r="9" spans="1:14" ht="12.7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38"/>
    </row>
    <row r="10" spans="1:64" ht="12.75">
      <c r="A10" s="1" t="s">
        <v>5</v>
      </c>
      <c r="B10" s="10" t="s">
        <v>64</v>
      </c>
      <c r="C10" s="10" t="s">
        <v>65</v>
      </c>
      <c r="D10" s="10" t="s">
        <v>139</v>
      </c>
      <c r="E10" s="10" t="s">
        <v>220</v>
      </c>
      <c r="F10" s="20" t="s">
        <v>226</v>
      </c>
      <c r="G10" s="24" t="s">
        <v>227</v>
      </c>
      <c r="H10" s="114" t="s">
        <v>233</v>
      </c>
      <c r="I10" s="115"/>
      <c r="J10" s="116"/>
      <c r="K10" s="114" t="s">
        <v>240</v>
      </c>
      <c r="L10" s="116"/>
      <c r="M10" s="31" t="s">
        <v>242</v>
      </c>
      <c r="N10" s="39"/>
      <c r="BK10" s="30" t="s">
        <v>288</v>
      </c>
      <c r="BL10" s="44" t="s">
        <v>291</v>
      </c>
    </row>
    <row r="11" spans="1:62" ht="12.75">
      <c r="A11" s="2" t="s">
        <v>6</v>
      </c>
      <c r="B11" s="11" t="s">
        <v>6</v>
      </c>
      <c r="C11" s="11" t="s">
        <v>6</v>
      </c>
      <c r="D11" s="17" t="s">
        <v>140</v>
      </c>
      <c r="E11" s="11" t="s">
        <v>6</v>
      </c>
      <c r="F11" s="11" t="s">
        <v>6</v>
      </c>
      <c r="G11" s="25" t="s">
        <v>228</v>
      </c>
      <c r="H11" s="26" t="s">
        <v>234</v>
      </c>
      <c r="I11" s="27" t="s">
        <v>238</v>
      </c>
      <c r="J11" s="28" t="s">
        <v>239</v>
      </c>
      <c r="K11" s="26" t="s">
        <v>241</v>
      </c>
      <c r="L11" s="28" t="s">
        <v>239</v>
      </c>
      <c r="M11" s="32" t="s">
        <v>243</v>
      </c>
      <c r="N11" s="39"/>
      <c r="Z11" s="30" t="s">
        <v>245</v>
      </c>
      <c r="AA11" s="30" t="s">
        <v>246</v>
      </c>
      <c r="AB11" s="30" t="s">
        <v>247</v>
      </c>
      <c r="AC11" s="30" t="s">
        <v>248</v>
      </c>
      <c r="AD11" s="30" t="s">
        <v>249</v>
      </c>
      <c r="AE11" s="30" t="s">
        <v>250</v>
      </c>
      <c r="AF11" s="30" t="s">
        <v>251</v>
      </c>
      <c r="AG11" s="30" t="s">
        <v>252</v>
      </c>
      <c r="AH11" s="30" t="s">
        <v>253</v>
      </c>
      <c r="BH11" s="30" t="s">
        <v>285</v>
      </c>
      <c r="BI11" s="30" t="s">
        <v>286</v>
      </c>
      <c r="BJ11" s="30" t="s">
        <v>287</v>
      </c>
    </row>
    <row r="12" spans="1:47" ht="12.75">
      <c r="A12" s="3"/>
      <c r="B12" s="12"/>
      <c r="C12" s="12" t="s">
        <v>34</v>
      </c>
      <c r="D12" s="12" t="s">
        <v>141</v>
      </c>
      <c r="E12" s="18" t="s">
        <v>6</v>
      </c>
      <c r="F12" s="18" t="s">
        <v>6</v>
      </c>
      <c r="G12" s="18" t="s">
        <v>6</v>
      </c>
      <c r="H12" s="45">
        <f>SUM(H13:H13)</f>
        <v>0</v>
      </c>
      <c r="I12" s="45">
        <f>SUM(I13:I13)</f>
        <v>0</v>
      </c>
      <c r="J12" s="45">
        <f>SUM(J13:J13)</f>
        <v>0</v>
      </c>
      <c r="K12" s="29"/>
      <c r="L12" s="45">
        <f>SUM(L13:L13)</f>
        <v>0.63</v>
      </c>
      <c r="M12" s="33"/>
      <c r="N12" s="38"/>
      <c r="AI12" s="30"/>
      <c r="AS12" s="46">
        <f>SUM(AJ13:AJ13)</f>
        <v>0</v>
      </c>
      <c r="AT12" s="46">
        <f>SUM(AK13:AK13)</f>
        <v>0</v>
      </c>
      <c r="AU12" s="46">
        <f>SUM(AL13:AL13)</f>
        <v>0</v>
      </c>
    </row>
    <row r="13" spans="1:64" ht="12.75">
      <c r="A13" s="4" t="s">
        <v>7</v>
      </c>
      <c r="B13" s="13"/>
      <c r="C13" s="13" t="s">
        <v>66</v>
      </c>
      <c r="D13" s="13" t="s">
        <v>142</v>
      </c>
      <c r="E13" s="13" t="s">
        <v>221</v>
      </c>
      <c r="F13" s="21">
        <v>10</v>
      </c>
      <c r="G13" s="21"/>
      <c r="H13" s="21">
        <f>F13*AO13</f>
        <v>0</v>
      </c>
      <c r="I13" s="21">
        <f>F13*AP13</f>
        <v>0</v>
      </c>
      <c r="J13" s="21">
        <f>F13*G13</f>
        <v>0</v>
      </c>
      <c r="K13" s="21">
        <v>0.063</v>
      </c>
      <c r="L13" s="21">
        <f>F13*K13</f>
        <v>0.63</v>
      </c>
      <c r="M13" s="34" t="s">
        <v>244</v>
      </c>
      <c r="N13" s="38"/>
      <c r="Z13" s="40">
        <f>IF(AQ13="5",BJ13,0)</f>
        <v>0</v>
      </c>
      <c r="AB13" s="40">
        <f>IF(AQ13="1",BH13,0)</f>
        <v>0</v>
      </c>
      <c r="AC13" s="40">
        <f>IF(AQ13="1",BI13,0)</f>
        <v>0</v>
      </c>
      <c r="AD13" s="40">
        <f>IF(AQ13="7",BH13,0)</f>
        <v>0</v>
      </c>
      <c r="AE13" s="40">
        <f>IF(AQ13="7",BI13,0)</f>
        <v>0</v>
      </c>
      <c r="AF13" s="40">
        <f>IF(AQ13="2",BH13,0)</f>
        <v>0</v>
      </c>
      <c r="AG13" s="40">
        <f>IF(AQ13="2",BI13,0)</f>
        <v>0</v>
      </c>
      <c r="AH13" s="40">
        <f>IF(AQ13="0",BJ13,0)</f>
        <v>0</v>
      </c>
      <c r="AI13" s="30"/>
      <c r="AJ13" s="21">
        <f>IF(AN13=0,J13,0)</f>
        <v>0</v>
      </c>
      <c r="AK13" s="21">
        <f>IF(AN13=15,J13,0)</f>
        <v>0</v>
      </c>
      <c r="AL13" s="21">
        <f>IF(AN13=21,J13,0)</f>
        <v>0</v>
      </c>
      <c r="AN13" s="40">
        <v>15</v>
      </c>
      <c r="AO13" s="40">
        <f>G13*0</f>
        <v>0</v>
      </c>
      <c r="AP13" s="40">
        <f>G13*(1-0)</f>
        <v>0</v>
      </c>
      <c r="AQ13" s="41" t="s">
        <v>7</v>
      </c>
      <c r="AV13" s="40">
        <f>AW13+AX13</f>
        <v>0</v>
      </c>
      <c r="AW13" s="40">
        <f>F13*AO13</f>
        <v>0</v>
      </c>
      <c r="AX13" s="40">
        <f>F13*AP13</f>
        <v>0</v>
      </c>
      <c r="AY13" s="43" t="s">
        <v>255</v>
      </c>
      <c r="AZ13" s="43" t="s">
        <v>274</v>
      </c>
      <c r="BA13" s="30" t="s">
        <v>284</v>
      </c>
      <c r="BC13" s="40">
        <f>AW13+AX13</f>
        <v>0</v>
      </c>
      <c r="BD13" s="40">
        <f>G13/(100-BE13)*100</f>
        <v>0</v>
      </c>
      <c r="BE13" s="40">
        <v>0</v>
      </c>
      <c r="BF13" s="40">
        <f>L13</f>
        <v>0.63</v>
      </c>
      <c r="BH13" s="21">
        <f>F13*AO13</f>
        <v>0</v>
      </c>
      <c r="BI13" s="21">
        <f>F13*AP13</f>
        <v>0</v>
      </c>
      <c r="BJ13" s="21">
        <f>F13*G13</f>
        <v>0</v>
      </c>
      <c r="BK13" s="21" t="s">
        <v>289</v>
      </c>
      <c r="BL13" s="40">
        <v>28</v>
      </c>
    </row>
    <row r="14" spans="1:47" ht="12.75">
      <c r="A14" s="5"/>
      <c r="B14" s="14"/>
      <c r="C14" s="14" t="s">
        <v>67</v>
      </c>
      <c r="D14" s="14" t="s">
        <v>143</v>
      </c>
      <c r="E14" s="19" t="s">
        <v>6</v>
      </c>
      <c r="F14" s="19" t="s">
        <v>6</v>
      </c>
      <c r="G14" s="19" t="s">
        <v>6</v>
      </c>
      <c r="H14" s="46">
        <f>SUM(H15:H16)</f>
        <v>0</v>
      </c>
      <c r="I14" s="46">
        <f>SUM(I15:I16)</f>
        <v>0</v>
      </c>
      <c r="J14" s="46">
        <f>SUM(J15:J16)</f>
        <v>0</v>
      </c>
      <c r="K14" s="30"/>
      <c r="L14" s="46">
        <f>SUM(L15:L16)</f>
        <v>1.2648000000000001</v>
      </c>
      <c r="M14" s="35"/>
      <c r="N14" s="38"/>
      <c r="AI14" s="30"/>
      <c r="AS14" s="46">
        <f>SUM(AJ15:AJ16)</f>
        <v>0</v>
      </c>
      <c r="AT14" s="46">
        <f>SUM(AK15:AK16)</f>
        <v>0</v>
      </c>
      <c r="AU14" s="46">
        <f>SUM(AL15:AL16)</f>
        <v>0</v>
      </c>
    </row>
    <row r="15" spans="1:64" ht="12.75">
      <c r="A15" s="4" t="s">
        <v>8</v>
      </c>
      <c r="B15" s="13"/>
      <c r="C15" s="13" t="s">
        <v>68</v>
      </c>
      <c r="D15" s="13" t="s">
        <v>144</v>
      </c>
      <c r="E15" s="13" t="s">
        <v>221</v>
      </c>
      <c r="F15" s="21">
        <v>10</v>
      </c>
      <c r="G15" s="21"/>
      <c r="H15" s="21">
        <f>F15*AO15</f>
        <v>0</v>
      </c>
      <c r="I15" s="21">
        <f>F15*AP15</f>
        <v>0</v>
      </c>
      <c r="J15" s="21">
        <f>F15*G15</f>
        <v>0</v>
      </c>
      <c r="K15" s="21">
        <v>0.052</v>
      </c>
      <c r="L15" s="21">
        <f>F15*K15</f>
        <v>0.52</v>
      </c>
      <c r="M15" s="34"/>
      <c r="N15" s="38"/>
      <c r="Z15" s="40">
        <f>IF(AQ15="5",BJ15,0)</f>
        <v>0</v>
      </c>
      <c r="AB15" s="40">
        <f>IF(AQ15="1",BH15,0)</f>
        <v>0</v>
      </c>
      <c r="AC15" s="40">
        <f>IF(AQ15="1",BI15,0)</f>
        <v>0</v>
      </c>
      <c r="AD15" s="40">
        <f>IF(AQ15="7",BH15,0)</f>
        <v>0</v>
      </c>
      <c r="AE15" s="40">
        <f>IF(AQ15="7",BI15,0)</f>
        <v>0</v>
      </c>
      <c r="AF15" s="40">
        <f>IF(AQ15="2",BH15,0)</f>
        <v>0</v>
      </c>
      <c r="AG15" s="40">
        <f>IF(AQ15="2",BI15,0)</f>
        <v>0</v>
      </c>
      <c r="AH15" s="40">
        <f>IF(AQ15="0",BJ15,0)</f>
        <v>0</v>
      </c>
      <c r="AI15" s="30"/>
      <c r="AJ15" s="21">
        <f>IF(AN15=0,J15,0)</f>
        <v>0</v>
      </c>
      <c r="AK15" s="21">
        <f>IF(AN15=15,J15,0)</f>
        <v>0</v>
      </c>
      <c r="AL15" s="21">
        <f>IF(AN15=21,J15,0)</f>
        <v>0</v>
      </c>
      <c r="AN15" s="40">
        <v>15</v>
      </c>
      <c r="AO15" s="40">
        <f>G15*0.698623402163225</f>
        <v>0</v>
      </c>
      <c r="AP15" s="40">
        <f>G15*(1-0.698623402163225)</f>
        <v>0</v>
      </c>
      <c r="AQ15" s="41" t="s">
        <v>7</v>
      </c>
      <c r="AV15" s="40">
        <f>AW15+AX15</f>
        <v>0</v>
      </c>
      <c r="AW15" s="40">
        <f>F15*AO15</f>
        <v>0</v>
      </c>
      <c r="AX15" s="40">
        <f>F15*AP15</f>
        <v>0</v>
      </c>
      <c r="AY15" s="43" t="s">
        <v>256</v>
      </c>
      <c r="AZ15" s="43" t="s">
        <v>275</v>
      </c>
      <c r="BA15" s="30" t="s">
        <v>284</v>
      </c>
      <c r="BC15" s="40">
        <f>AW15+AX15</f>
        <v>0</v>
      </c>
      <c r="BD15" s="40">
        <f>G15/(100-BE15)*100</f>
        <v>0</v>
      </c>
      <c r="BE15" s="40">
        <v>0</v>
      </c>
      <c r="BF15" s="40">
        <f>L15</f>
        <v>0.52</v>
      </c>
      <c r="BH15" s="21">
        <f>F15*AO15</f>
        <v>0</v>
      </c>
      <c r="BI15" s="21">
        <f>F15*AP15</f>
        <v>0</v>
      </c>
      <c r="BJ15" s="21">
        <f>F15*G15</f>
        <v>0</v>
      </c>
      <c r="BK15" s="21" t="s">
        <v>289</v>
      </c>
      <c r="BL15" s="40">
        <v>60</v>
      </c>
    </row>
    <row r="16" spans="1:64" ht="12.75">
      <c r="A16" s="4" t="s">
        <v>9</v>
      </c>
      <c r="B16" s="13"/>
      <c r="C16" s="13" t="s">
        <v>69</v>
      </c>
      <c r="D16" s="13" t="s">
        <v>145</v>
      </c>
      <c r="E16" s="13" t="s">
        <v>221</v>
      </c>
      <c r="F16" s="21">
        <v>152</v>
      </c>
      <c r="G16" s="21"/>
      <c r="H16" s="21">
        <f>F16*AO16</f>
        <v>0</v>
      </c>
      <c r="I16" s="21">
        <f>F16*AP16</f>
        <v>0</v>
      </c>
      <c r="J16" s="21">
        <f>F16*G16</f>
        <v>0</v>
      </c>
      <c r="K16" s="21">
        <v>0.0049</v>
      </c>
      <c r="L16" s="21">
        <f>F16*K16</f>
        <v>0.7448</v>
      </c>
      <c r="M16" s="34"/>
      <c r="N16" s="38"/>
      <c r="Z16" s="40">
        <f>IF(AQ16="5",BJ16,0)</f>
        <v>0</v>
      </c>
      <c r="AB16" s="40">
        <f>IF(AQ16="1",BH16,0)</f>
        <v>0</v>
      </c>
      <c r="AC16" s="40">
        <f>IF(AQ16="1",BI16,0)</f>
        <v>0</v>
      </c>
      <c r="AD16" s="40">
        <f>IF(AQ16="7",BH16,0)</f>
        <v>0</v>
      </c>
      <c r="AE16" s="40">
        <f>IF(AQ16="7",BI16,0)</f>
        <v>0</v>
      </c>
      <c r="AF16" s="40">
        <f>IF(AQ16="2",BH16,0)</f>
        <v>0</v>
      </c>
      <c r="AG16" s="40">
        <f>IF(AQ16="2",BI16,0)</f>
        <v>0</v>
      </c>
      <c r="AH16" s="40">
        <f>IF(AQ16="0",BJ16,0)</f>
        <v>0</v>
      </c>
      <c r="AI16" s="30"/>
      <c r="AJ16" s="21">
        <f>IF(AN16=0,J16,0)</f>
        <v>0</v>
      </c>
      <c r="AK16" s="21">
        <f>IF(AN16=15,J16,0)</f>
        <v>0</v>
      </c>
      <c r="AL16" s="21">
        <f>IF(AN16=21,J16,0)</f>
        <v>0</v>
      </c>
      <c r="AN16" s="40">
        <v>15</v>
      </c>
      <c r="AO16" s="40">
        <f>G16*0.177</f>
        <v>0</v>
      </c>
      <c r="AP16" s="40">
        <f>G16*(1-0.177)</f>
        <v>0</v>
      </c>
      <c r="AQ16" s="41" t="s">
        <v>7</v>
      </c>
      <c r="AV16" s="40">
        <f>AW16+AX16</f>
        <v>0</v>
      </c>
      <c r="AW16" s="40">
        <f>F16*AO16</f>
        <v>0</v>
      </c>
      <c r="AX16" s="40">
        <f>F16*AP16</f>
        <v>0</v>
      </c>
      <c r="AY16" s="43" t="s">
        <v>256</v>
      </c>
      <c r="AZ16" s="43" t="s">
        <v>275</v>
      </c>
      <c r="BA16" s="30" t="s">
        <v>284</v>
      </c>
      <c r="BC16" s="40">
        <f>AW16+AX16</f>
        <v>0</v>
      </c>
      <c r="BD16" s="40">
        <f>G16/(100-BE16)*100</f>
        <v>0</v>
      </c>
      <c r="BE16" s="40">
        <v>0</v>
      </c>
      <c r="BF16" s="40">
        <f>L16</f>
        <v>0.7448</v>
      </c>
      <c r="BH16" s="21">
        <f>F16*AO16</f>
        <v>0</v>
      </c>
      <c r="BI16" s="21">
        <f>F16*AP16</f>
        <v>0</v>
      </c>
      <c r="BJ16" s="21">
        <f>F16*G16</f>
        <v>0</v>
      </c>
      <c r="BK16" s="21" t="s">
        <v>289</v>
      </c>
      <c r="BL16" s="40">
        <v>60</v>
      </c>
    </row>
    <row r="17" spans="1:47" ht="12.75">
      <c r="A17" s="5"/>
      <c r="B17" s="14"/>
      <c r="C17" s="14" t="s">
        <v>70</v>
      </c>
      <c r="D17" s="14" t="s">
        <v>146</v>
      </c>
      <c r="E17" s="19" t="s">
        <v>6</v>
      </c>
      <c r="F17" s="19" t="s">
        <v>6</v>
      </c>
      <c r="G17" s="19" t="s">
        <v>6</v>
      </c>
      <c r="H17" s="46">
        <f>SUM(H18:H20)</f>
        <v>0</v>
      </c>
      <c r="I17" s="46">
        <f>SUM(I18:I20)</f>
        <v>0</v>
      </c>
      <c r="J17" s="46">
        <f>SUM(J18:J20)</f>
        <v>0</v>
      </c>
      <c r="K17" s="30"/>
      <c r="L17" s="46">
        <f>SUM(L18:L20)</f>
        <v>0.24009000000000003</v>
      </c>
      <c r="M17" s="35"/>
      <c r="N17" s="38"/>
      <c r="AI17" s="30"/>
      <c r="AS17" s="46">
        <f>SUM(AJ18:AJ20)</f>
        <v>0</v>
      </c>
      <c r="AT17" s="46">
        <f>SUM(AK18:AK20)</f>
        <v>0</v>
      </c>
      <c r="AU17" s="46">
        <f>SUM(AL18:AL20)</f>
        <v>0</v>
      </c>
    </row>
    <row r="18" spans="1:64" ht="12.75">
      <c r="A18" s="4" t="s">
        <v>10</v>
      </c>
      <c r="B18" s="13"/>
      <c r="C18" s="13" t="s">
        <v>71</v>
      </c>
      <c r="D18" s="13" t="s">
        <v>147</v>
      </c>
      <c r="E18" s="13" t="s">
        <v>221</v>
      </c>
      <c r="F18" s="21">
        <v>6.4</v>
      </c>
      <c r="G18" s="21"/>
      <c r="H18" s="21">
        <f>F18*AO18</f>
        <v>0</v>
      </c>
      <c r="I18" s="21">
        <f>F18*AP18</f>
        <v>0</v>
      </c>
      <c r="J18" s="21">
        <f>F18*G18</f>
        <v>0</v>
      </c>
      <c r="K18" s="21">
        <v>0.0016</v>
      </c>
      <c r="L18" s="21">
        <f>F18*K18</f>
        <v>0.01024</v>
      </c>
      <c r="M18" s="34"/>
      <c r="N18" s="38"/>
      <c r="Z18" s="40">
        <f>IF(AQ18="5",BJ18,0)</f>
        <v>0</v>
      </c>
      <c r="AB18" s="40">
        <f>IF(AQ18="1",BH18,0)</f>
        <v>0</v>
      </c>
      <c r="AC18" s="40">
        <f>IF(AQ18="1",BI18,0)</f>
        <v>0</v>
      </c>
      <c r="AD18" s="40">
        <f>IF(AQ18="7",BH18,0)</f>
        <v>0</v>
      </c>
      <c r="AE18" s="40">
        <f>IF(AQ18="7",BI18,0)</f>
        <v>0</v>
      </c>
      <c r="AF18" s="40">
        <f>IF(AQ18="2",BH18,0)</f>
        <v>0</v>
      </c>
      <c r="AG18" s="40">
        <f>IF(AQ18="2",BI18,0)</f>
        <v>0</v>
      </c>
      <c r="AH18" s="40">
        <f>IF(AQ18="0",BJ18,0)</f>
        <v>0</v>
      </c>
      <c r="AI18" s="30"/>
      <c r="AJ18" s="21">
        <f>IF(AN18=0,J18,0)</f>
        <v>0</v>
      </c>
      <c r="AK18" s="21">
        <f>IF(AN18=15,J18,0)</f>
        <v>0</v>
      </c>
      <c r="AL18" s="21">
        <f>IF(AN18=21,J18,0)</f>
        <v>0</v>
      </c>
      <c r="AN18" s="40">
        <v>15</v>
      </c>
      <c r="AO18" s="40">
        <f>G18*0.873285714285714</f>
        <v>0</v>
      </c>
      <c r="AP18" s="40">
        <f>G18*(1-0.873285714285714)</f>
        <v>0</v>
      </c>
      <c r="AQ18" s="41" t="s">
        <v>7</v>
      </c>
      <c r="AV18" s="40">
        <f>AW18+AX18</f>
        <v>0</v>
      </c>
      <c r="AW18" s="40">
        <f>F18*AO18</f>
        <v>0</v>
      </c>
      <c r="AX18" s="40">
        <f>F18*AP18</f>
        <v>0</v>
      </c>
      <c r="AY18" s="43" t="s">
        <v>257</v>
      </c>
      <c r="AZ18" s="43" t="s">
        <v>275</v>
      </c>
      <c r="BA18" s="30" t="s">
        <v>284</v>
      </c>
      <c r="BC18" s="40">
        <f>AW18+AX18</f>
        <v>0</v>
      </c>
      <c r="BD18" s="40">
        <f>G18/(100-BE18)*100</f>
        <v>0</v>
      </c>
      <c r="BE18" s="40">
        <v>0</v>
      </c>
      <c r="BF18" s="40">
        <f>L18</f>
        <v>0.01024</v>
      </c>
      <c r="BH18" s="21">
        <f>F18*AO18</f>
        <v>0</v>
      </c>
      <c r="BI18" s="21">
        <f>F18*AP18</f>
        <v>0</v>
      </c>
      <c r="BJ18" s="21">
        <f>F18*G18</f>
        <v>0</v>
      </c>
      <c r="BK18" s="21" t="s">
        <v>289</v>
      </c>
      <c r="BL18" s="40">
        <v>61</v>
      </c>
    </row>
    <row r="19" spans="1:64" ht="12.75">
      <c r="A19" s="4" t="s">
        <v>11</v>
      </c>
      <c r="B19" s="13"/>
      <c r="C19" s="13" t="s">
        <v>72</v>
      </c>
      <c r="D19" s="13" t="s">
        <v>148</v>
      </c>
      <c r="E19" s="13" t="s">
        <v>222</v>
      </c>
      <c r="F19" s="21">
        <v>65</v>
      </c>
      <c r="G19" s="21"/>
      <c r="H19" s="21">
        <f>F19*AO19</f>
        <v>0</v>
      </c>
      <c r="I19" s="21">
        <f>F19*AP19</f>
        <v>0</v>
      </c>
      <c r="J19" s="21">
        <f>F19*G19</f>
        <v>0</v>
      </c>
      <c r="K19" s="21">
        <v>0.00156</v>
      </c>
      <c r="L19" s="21">
        <f>F19*K19</f>
        <v>0.1014</v>
      </c>
      <c r="M19" s="34"/>
      <c r="N19" s="38"/>
      <c r="Z19" s="40">
        <f>IF(AQ19="5",BJ19,0)</f>
        <v>0</v>
      </c>
      <c r="AB19" s="40">
        <f>IF(AQ19="1",BH19,0)</f>
        <v>0</v>
      </c>
      <c r="AC19" s="40">
        <f>IF(AQ19="1",BI19,0)</f>
        <v>0</v>
      </c>
      <c r="AD19" s="40">
        <f>IF(AQ19="7",BH19,0)</f>
        <v>0</v>
      </c>
      <c r="AE19" s="40">
        <f>IF(AQ19="7",BI19,0)</f>
        <v>0</v>
      </c>
      <c r="AF19" s="40">
        <f>IF(AQ19="2",BH19,0)</f>
        <v>0</v>
      </c>
      <c r="AG19" s="40">
        <f>IF(AQ19="2",BI19,0)</f>
        <v>0</v>
      </c>
      <c r="AH19" s="40">
        <f>IF(AQ19="0",BJ19,0)</f>
        <v>0</v>
      </c>
      <c r="AI19" s="30"/>
      <c r="AJ19" s="21">
        <f>IF(AN19=0,J19,0)</f>
        <v>0</v>
      </c>
      <c r="AK19" s="21">
        <f>IF(AN19=15,J19,0)</f>
        <v>0</v>
      </c>
      <c r="AL19" s="21">
        <f>IF(AN19=21,J19,0)</f>
        <v>0</v>
      </c>
      <c r="AN19" s="40">
        <v>15</v>
      </c>
      <c r="AO19" s="40">
        <f>G19*0.0947692307692308</f>
        <v>0</v>
      </c>
      <c r="AP19" s="40">
        <f>G19*(1-0.0947692307692308)</f>
        <v>0</v>
      </c>
      <c r="AQ19" s="41" t="s">
        <v>7</v>
      </c>
      <c r="AV19" s="40">
        <f>AW19+AX19</f>
        <v>0</v>
      </c>
      <c r="AW19" s="40">
        <f>F19*AO19</f>
        <v>0</v>
      </c>
      <c r="AX19" s="40">
        <f>F19*AP19</f>
        <v>0</v>
      </c>
      <c r="AY19" s="43" t="s">
        <v>257</v>
      </c>
      <c r="AZ19" s="43" t="s">
        <v>275</v>
      </c>
      <c r="BA19" s="30" t="s">
        <v>284</v>
      </c>
      <c r="BC19" s="40">
        <f>AW19+AX19</f>
        <v>0</v>
      </c>
      <c r="BD19" s="40">
        <f>G19/(100-BE19)*100</f>
        <v>0</v>
      </c>
      <c r="BE19" s="40">
        <v>0</v>
      </c>
      <c r="BF19" s="40">
        <f>L19</f>
        <v>0.1014</v>
      </c>
      <c r="BH19" s="21">
        <f>F19*AO19</f>
        <v>0</v>
      </c>
      <c r="BI19" s="21">
        <f>F19*AP19</f>
        <v>0</v>
      </c>
      <c r="BJ19" s="21">
        <f>F19*G19</f>
        <v>0</v>
      </c>
      <c r="BK19" s="21" t="s">
        <v>289</v>
      </c>
      <c r="BL19" s="40">
        <v>61</v>
      </c>
    </row>
    <row r="20" spans="1:64" ht="12.75">
      <c r="A20" s="4" t="s">
        <v>12</v>
      </c>
      <c r="B20" s="13"/>
      <c r="C20" s="13" t="s">
        <v>73</v>
      </c>
      <c r="D20" s="13" t="s">
        <v>149</v>
      </c>
      <c r="E20" s="13" t="s">
        <v>221</v>
      </c>
      <c r="F20" s="21">
        <v>35</v>
      </c>
      <c r="G20" s="21"/>
      <c r="H20" s="21">
        <f>F20*AO20</f>
        <v>0</v>
      </c>
      <c r="I20" s="21">
        <f>F20*AP20</f>
        <v>0</v>
      </c>
      <c r="J20" s="21">
        <f>F20*G20</f>
        <v>0</v>
      </c>
      <c r="K20" s="21">
        <v>0.00367</v>
      </c>
      <c r="L20" s="21">
        <f>F20*K20</f>
        <v>0.12845</v>
      </c>
      <c r="M20" s="34"/>
      <c r="N20" s="38"/>
      <c r="Z20" s="40">
        <f>IF(AQ20="5",BJ20,0)</f>
        <v>0</v>
      </c>
      <c r="AB20" s="40">
        <f>IF(AQ20="1",BH20,0)</f>
        <v>0</v>
      </c>
      <c r="AC20" s="40">
        <f>IF(AQ20="1",BI20,0)</f>
        <v>0</v>
      </c>
      <c r="AD20" s="40">
        <f>IF(AQ20="7",BH20,0)</f>
        <v>0</v>
      </c>
      <c r="AE20" s="40">
        <f>IF(AQ20="7",BI20,0)</f>
        <v>0</v>
      </c>
      <c r="AF20" s="40">
        <f>IF(AQ20="2",BH20,0)</f>
        <v>0</v>
      </c>
      <c r="AG20" s="40">
        <f>IF(AQ20="2",BI20,0)</f>
        <v>0</v>
      </c>
      <c r="AH20" s="40">
        <f>IF(AQ20="0",BJ20,0)</f>
        <v>0</v>
      </c>
      <c r="AI20" s="30"/>
      <c r="AJ20" s="21">
        <f>IF(AN20=0,J20,0)</f>
        <v>0</v>
      </c>
      <c r="AK20" s="21">
        <f>IF(AN20=15,J20,0)</f>
        <v>0</v>
      </c>
      <c r="AL20" s="21">
        <f>IF(AN20=21,J20,0)</f>
        <v>0</v>
      </c>
      <c r="AN20" s="40">
        <v>15</v>
      </c>
      <c r="AO20" s="40">
        <f>G20*0.260259259259259</f>
        <v>0</v>
      </c>
      <c r="AP20" s="40">
        <f>G20*(1-0.260259259259259)</f>
        <v>0</v>
      </c>
      <c r="AQ20" s="41" t="s">
        <v>7</v>
      </c>
      <c r="AV20" s="40">
        <f>AW20+AX20</f>
        <v>0</v>
      </c>
      <c r="AW20" s="40">
        <f>F20*AO20</f>
        <v>0</v>
      </c>
      <c r="AX20" s="40">
        <f>F20*AP20</f>
        <v>0</v>
      </c>
      <c r="AY20" s="43" t="s">
        <v>257</v>
      </c>
      <c r="AZ20" s="43" t="s">
        <v>275</v>
      </c>
      <c r="BA20" s="30" t="s">
        <v>284</v>
      </c>
      <c r="BC20" s="40">
        <f>AW20+AX20</f>
        <v>0</v>
      </c>
      <c r="BD20" s="40">
        <f>G20/(100-BE20)*100</f>
        <v>0</v>
      </c>
      <c r="BE20" s="40">
        <v>0</v>
      </c>
      <c r="BF20" s="40">
        <f>L20</f>
        <v>0.12845</v>
      </c>
      <c r="BH20" s="21">
        <f>F20*AO20</f>
        <v>0</v>
      </c>
      <c r="BI20" s="21">
        <f>F20*AP20</f>
        <v>0</v>
      </c>
      <c r="BJ20" s="21">
        <f>F20*G20</f>
        <v>0</v>
      </c>
      <c r="BK20" s="21" t="s">
        <v>289</v>
      </c>
      <c r="BL20" s="40">
        <v>61</v>
      </c>
    </row>
    <row r="21" spans="1:47" ht="12.75">
      <c r="A21" s="5"/>
      <c r="B21" s="14"/>
      <c r="C21" s="14" t="s">
        <v>74</v>
      </c>
      <c r="D21" s="14" t="s">
        <v>150</v>
      </c>
      <c r="E21" s="19" t="s">
        <v>6</v>
      </c>
      <c r="F21" s="19" t="s">
        <v>6</v>
      </c>
      <c r="G21" s="19" t="s">
        <v>6</v>
      </c>
      <c r="H21" s="46">
        <f>SUM(H22:H24)</f>
        <v>0</v>
      </c>
      <c r="I21" s="46">
        <f>SUM(I22:I24)</f>
        <v>0</v>
      </c>
      <c r="J21" s="46">
        <f>SUM(J22:J24)</f>
        <v>0</v>
      </c>
      <c r="K21" s="30"/>
      <c r="L21" s="46">
        <f>SUM(L22:L24)</f>
        <v>39.12499</v>
      </c>
      <c r="M21" s="35"/>
      <c r="N21" s="38"/>
      <c r="AI21" s="30"/>
      <c r="AS21" s="46">
        <f>SUM(AJ22:AJ24)</f>
        <v>0</v>
      </c>
      <c r="AT21" s="46">
        <f>SUM(AK22:AK24)</f>
        <v>0</v>
      </c>
      <c r="AU21" s="46">
        <f>SUM(AL22:AL24)</f>
        <v>0</v>
      </c>
    </row>
    <row r="22" spans="1:64" ht="12.75">
      <c r="A22" s="4" t="s">
        <v>13</v>
      </c>
      <c r="B22" s="13"/>
      <c r="C22" s="13" t="s">
        <v>75</v>
      </c>
      <c r="D22" s="13" t="s">
        <v>151</v>
      </c>
      <c r="E22" s="13" t="s">
        <v>221</v>
      </c>
      <c r="F22" s="21">
        <v>1</v>
      </c>
      <c r="G22" s="21"/>
      <c r="H22" s="21">
        <f>F22*AO22</f>
        <v>0</v>
      </c>
      <c r="I22" s="21">
        <f>F22*AP22</f>
        <v>0</v>
      </c>
      <c r="J22" s="21">
        <f>F22*G22</f>
        <v>0</v>
      </c>
      <c r="K22" s="21">
        <v>0.01249</v>
      </c>
      <c r="L22" s="21">
        <f>F22*K22</f>
        <v>0.01249</v>
      </c>
      <c r="M22" s="34"/>
      <c r="N22" s="38"/>
      <c r="Z22" s="40">
        <f>IF(AQ22="5",BJ22,0)</f>
        <v>0</v>
      </c>
      <c r="AB22" s="40">
        <f>IF(AQ22="1",BH22,0)</f>
        <v>0</v>
      </c>
      <c r="AC22" s="40">
        <f>IF(AQ22="1",BI22,0)</f>
        <v>0</v>
      </c>
      <c r="AD22" s="40">
        <f>IF(AQ22="7",BH22,0)</f>
        <v>0</v>
      </c>
      <c r="AE22" s="40">
        <f>IF(AQ22="7",BI22,0)</f>
        <v>0</v>
      </c>
      <c r="AF22" s="40">
        <f>IF(AQ22="2",BH22,0)</f>
        <v>0</v>
      </c>
      <c r="AG22" s="40">
        <f>IF(AQ22="2",BI22,0)</f>
        <v>0</v>
      </c>
      <c r="AH22" s="40">
        <f>IF(AQ22="0",BJ22,0)</f>
        <v>0</v>
      </c>
      <c r="AI22" s="30"/>
      <c r="AJ22" s="21">
        <f>IF(AN22=0,J22,0)</f>
        <v>0</v>
      </c>
      <c r="AK22" s="21">
        <f>IF(AN22=15,J22,0)</f>
        <v>0</v>
      </c>
      <c r="AL22" s="21">
        <f>IF(AN22=21,J22,0)</f>
        <v>0</v>
      </c>
      <c r="AN22" s="40">
        <v>15</v>
      </c>
      <c r="AO22" s="40">
        <f>G22*0.751237322515213</f>
        <v>0</v>
      </c>
      <c r="AP22" s="40">
        <f>G22*(1-0.751237322515213)</f>
        <v>0</v>
      </c>
      <c r="AQ22" s="41" t="s">
        <v>7</v>
      </c>
      <c r="AV22" s="40">
        <f>AW22+AX22</f>
        <v>0</v>
      </c>
      <c r="AW22" s="40">
        <f>F22*AO22</f>
        <v>0</v>
      </c>
      <c r="AX22" s="40">
        <f>F22*AP22</f>
        <v>0</v>
      </c>
      <c r="AY22" s="43" t="s">
        <v>258</v>
      </c>
      <c r="AZ22" s="43" t="s">
        <v>275</v>
      </c>
      <c r="BA22" s="30" t="s">
        <v>284</v>
      </c>
      <c r="BC22" s="40">
        <f>AW22+AX22</f>
        <v>0</v>
      </c>
      <c r="BD22" s="40">
        <f>G22/(100-BE22)*100</f>
        <v>0</v>
      </c>
      <c r="BE22" s="40">
        <v>0</v>
      </c>
      <c r="BF22" s="40">
        <f>L22</f>
        <v>0.01249</v>
      </c>
      <c r="BH22" s="21">
        <f>F22*AO22</f>
        <v>0</v>
      </c>
      <c r="BI22" s="21">
        <f>F22*AP22</f>
        <v>0</v>
      </c>
      <c r="BJ22" s="21">
        <f>F22*G22</f>
        <v>0</v>
      </c>
      <c r="BK22" s="21" t="s">
        <v>289</v>
      </c>
      <c r="BL22" s="40">
        <v>63</v>
      </c>
    </row>
    <row r="23" spans="1:64" ht="12.75">
      <c r="A23" s="4" t="s">
        <v>14</v>
      </c>
      <c r="B23" s="13"/>
      <c r="C23" s="13" t="s">
        <v>76</v>
      </c>
      <c r="D23" s="13" t="s">
        <v>152</v>
      </c>
      <c r="E23" s="13" t="s">
        <v>223</v>
      </c>
      <c r="F23" s="21">
        <v>14.5</v>
      </c>
      <c r="G23" s="21"/>
      <c r="H23" s="21">
        <f>F23*AO23</f>
        <v>0</v>
      </c>
      <c r="I23" s="21">
        <f>F23*AP23</f>
        <v>0</v>
      </c>
      <c r="J23" s="21">
        <f>F23*G23</f>
        <v>0</v>
      </c>
      <c r="K23" s="21">
        <v>2.525</v>
      </c>
      <c r="L23" s="21">
        <f>F23*K23</f>
        <v>36.6125</v>
      </c>
      <c r="M23" s="34"/>
      <c r="N23" s="38"/>
      <c r="Z23" s="40">
        <f>IF(AQ23="5",BJ23,0)</f>
        <v>0</v>
      </c>
      <c r="AB23" s="40">
        <f>IF(AQ23="1",BH23,0)</f>
        <v>0</v>
      </c>
      <c r="AC23" s="40">
        <f>IF(AQ23="1",BI23,0)</f>
        <v>0</v>
      </c>
      <c r="AD23" s="40">
        <f>IF(AQ23="7",BH23,0)</f>
        <v>0</v>
      </c>
      <c r="AE23" s="40">
        <f>IF(AQ23="7",BI23,0)</f>
        <v>0</v>
      </c>
      <c r="AF23" s="40">
        <f>IF(AQ23="2",BH23,0)</f>
        <v>0</v>
      </c>
      <c r="AG23" s="40">
        <f>IF(AQ23="2",BI23,0)</f>
        <v>0</v>
      </c>
      <c r="AH23" s="40">
        <f>IF(AQ23="0",BJ23,0)</f>
        <v>0</v>
      </c>
      <c r="AI23" s="30"/>
      <c r="AJ23" s="21">
        <f>IF(AN23=0,J23,0)</f>
        <v>0</v>
      </c>
      <c r="AK23" s="21">
        <f>IF(AN23=15,J23,0)</f>
        <v>0</v>
      </c>
      <c r="AL23" s="21">
        <f>IF(AN23=21,J23,0)</f>
        <v>0</v>
      </c>
      <c r="AN23" s="40">
        <v>15</v>
      </c>
      <c r="AO23" s="40">
        <f>G23*0.624819230769231</f>
        <v>0</v>
      </c>
      <c r="AP23" s="40">
        <f>G23*(1-0.624819230769231)</f>
        <v>0</v>
      </c>
      <c r="AQ23" s="41" t="s">
        <v>7</v>
      </c>
      <c r="AV23" s="40">
        <f>AW23+AX23</f>
        <v>0</v>
      </c>
      <c r="AW23" s="40">
        <f>F23*AO23</f>
        <v>0</v>
      </c>
      <c r="AX23" s="40">
        <f>F23*AP23</f>
        <v>0</v>
      </c>
      <c r="AY23" s="43" t="s">
        <v>258</v>
      </c>
      <c r="AZ23" s="43" t="s">
        <v>275</v>
      </c>
      <c r="BA23" s="30" t="s">
        <v>284</v>
      </c>
      <c r="BC23" s="40">
        <f>AW23+AX23</f>
        <v>0</v>
      </c>
      <c r="BD23" s="40">
        <f>G23/(100-BE23)*100</f>
        <v>0</v>
      </c>
      <c r="BE23" s="40">
        <v>0</v>
      </c>
      <c r="BF23" s="40">
        <f>L23</f>
        <v>36.6125</v>
      </c>
      <c r="BH23" s="21">
        <f>F23*AO23</f>
        <v>0</v>
      </c>
      <c r="BI23" s="21">
        <f>F23*AP23</f>
        <v>0</v>
      </c>
      <c r="BJ23" s="21">
        <f>F23*G23</f>
        <v>0</v>
      </c>
      <c r="BK23" s="21" t="s">
        <v>289</v>
      </c>
      <c r="BL23" s="40">
        <v>63</v>
      </c>
    </row>
    <row r="24" spans="1:64" ht="12.75">
      <c r="A24" s="4" t="s">
        <v>15</v>
      </c>
      <c r="B24" s="13"/>
      <c r="C24" s="13" t="s">
        <v>77</v>
      </c>
      <c r="D24" s="13" t="s">
        <v>153</v>
      </c>
      <c r="E24" s="13" t="s">
        <v>223</v>
      </c>
      <c r="F24" s="21">
        <v>1</v>
      </c>
      <c r="G24" s="21"/>
      <c r="H24" s="21">
        <f>F24*AO24</f>
        <v>0</v>
      </c>
      <c r="I24" s="21">
        <f>F24*AP24</f>
        <v>0</v>
      </c>
      <c r="J24" s="21">
        <f>F24*G24</f>
        <v>0</v>
      </c>
      <c r="K24" s="21">
        <v>2.5</v>
      </c>
      <c r="L24" s="21">
        <f>F24*K24</f>
        <v>2.5</v>
      </c>
      <c r="M24" s="34"/>
      <c r="N24" s="38"/>
      <c r="Z24" s="40">
        <f>IF(AQ24="5",BJ24,0)</f>
        <v>0</v>
      </c>
      <c r="AB24" s="40">
        <f>IF(AQ24="1",BH24,0)</f>
        <v>0</v>
      </c>
      <c r="AC24" s="40">
        <f>IF(AQ24="1",BI24,0)</f>
        <v>0</v>
      </c>
      <c r="AD24" s="40">
        <f>IF(AQ24="7",BH24,0)</f>
        <v>0</v>
      </c>
      <c r="AE24" s="40">
        <f>IF(AQ24="7",BI24,0)</f>
        <v>0</v>
      </c>
      <c r="AF24" s="40">
        <f>IF(AQ24="2",BH24,0)</f>
        <v>0</v>
      </c>
      <c r="AG24" s="40">
        <f>IF(AQ24="2",BI24,0)</f>
        <v>0</v>
      </c>
      <c r="AH24" s="40">
        <f>IF(AQ24="0",BJ24,0)</f>
        <v>0</v>
      </c>
      <c r="AI24" s="30"/>
      <c r="AJ24" s="21">
        <f>IF(AN24=0,J24,0)</f>
        <v>0</v>
      </c>
      <c r="AK24" s="21">
        <f>IF(AN24=15,J24,0)</f>
        <v>0</v>
      </c>
      <c r="AL24" s="21">
        <f>IF(AN24=21,J24,0)</f>
        <v>0</v>
      </c>
      <c r="AN24" s="40">
        <v>15</v>
      </c>
      <c r="AO24" s="40">
        <f>G24*0.527798461538462</f>
        <v>0</v>
      </c>
      <c r="AP24" s="40">
        <f>G24*(1-0.527798461538462)</f>
        <v>0</v>
      </c>
      <c r="AQ24" s="41" t="s">
        <v>7</v>
      </c>
      <c r="AV24" s="40">
        <f>AW24+AX24</f>
        <v>0</v>
      </c>
      <c r="AW24" s="40">
        <f>F24*AO24</f>
        <v>0</v>
      </c>
      <c r="AX24" s="40">
        <f>F24*AP24</f>
        <v>0</v>
      </c>
      <c r="AY24" s="43" t="s">
        <v>258</v>
      </c>
      <c r="AZ24" s="43" t="s">
        <v>275</v>
      </c>
      <c r="BA24" s="30" t="s">
        <v>284</v>
      </c>
      <c r="BC24" s="40">
        <f>AW24+AX24</f>
        <v>0</v>
      </c>
      <c r="BD24" s="40">
        <f>G24/(100-BE24)*100</f>
        <v>0</v>
      </c>
      <c r="BE24" s="40">
        <v>0</v>
      </c>
      <c r="BF24" s="40">
        <f>L24</f>
        <v>2.5</v>
      </c>
      <c r="BH24" s="21">
        <f>F24*AO24</f>
        <v>0</v>
      </c>
      <c r="BI24" s="21">
        <f>F24*AP24</f>
        <v>0</v>
      </c>
      <c r="BJ24" s="21">
        <f>F24*G24</f>
        <v>0</v>
      </c>
      <c r="BK24" s="21" t="s">
        <v>289</v>
      </c>
      <c r="BL24" s="40">
        <v>63</v>
      </c>
    </row>
    <row r="25" spans="1:47" ht="12.75">
      <c r="A25" s="5"/>
      <c r="B25" s="14"/>
      <c r="C25" s="14" t="s">
        <v>78</v>
      </c>
      <c r="D25" s="14" t="s">
        <v>154</v>
      </c>
      <c r="E25" s="19" t="s">
        <v>6</v>
      </c>
      <c r="F25" s="19" t="s">
        <v>6</v>
      </c>
      <c r="G25" s="19" t="s">
        <v>6</v>
      </c>
      <c r="H25" s="46">
        <f>SUM(H26:H28)</f>
        <v>0</v>
      </c>
      <c r="I25" s="46">
        <f>SUM(I26:I28)</f>
        <v>0</v>
      </c>
      <c r="J25" s="46">
        <f>SUM(J26:J28)</f>
        <v>0</v>
      </c>
      <c r="K25" s="30"/>
      <c r="L25" s="46">
        <f>SUM(L26:L28)</f>
        <v>0.101398</v>
      </c>
      <c r="M25" s="35"/>
      <c r="N25" s="38"/>
      <c r="AI25" s="30"/>
      <c r="AS25" s="46">
        <f>SUM(AJ26:AJ28)</f>
        <v>0</v>
      </c>
      <c r="AT25" s="46">
        <f>SUM(AK26:AK28)</f>
        <v>0</v>
      </c>
      <c r="AU25" s="46">
        <f>SUM(AL26:AL28)</f>
        <v>0</v>
      </c>
    </row>
    <row r="26" spans="1:64" ht="12.75">
      <c r="A26" s="4" t="s">
        <v>16</v>
      </c>
      <c r="B26" s="13"/>
      <c r="C26" s="13" t="s">
        <v>79</v>
      </c>
      <c r="D26" s="13" t="s">
        <v>155</v>
      </c>
      <c r="E26" s="13" t="s">
        <v>221</v>
      </c>
      <c r="F26" s="21">
        <v>19.7</v>
      </c>
      <c r="G26" s="21"/>
      <c r="H26" s="21">
        <f>F26*AO26</f>
        <v>0</v>
      </c>
      <c r="I26" s="21">
        <f>F26*AP26</f>
        <v>0</v>
      </c>
      <c r="J26" s="21">
        <f>F26*G26</f>
        <v>0</v>
      </c>
      <c r="K26" s="21">
        <v>0.00021</v>
      </c>
      <c r="L26" s="21">
        <f>F26*K26</f>
        <v>0.004137</v>
      </c>
      <c r="M26" s="34"/>
      <c r="N26" s="38"/>
      <c r="Z26" s="40">
        <f>IF(AQ26="5",BJ26,0)</f>
        <v>0</v>
      </c>
      <c r="AB26" s="40">
        <f>IF(AQ26="1",BH26,0)</f>
        <v>0</v>
      </c>
      <c r="AC26" s="40">
        <f>IF(AQ26="1",BI26,0)</f>
        <v>0</v>
      </c>
      <c r="AD26" s="40">
        <f>IF(AQ26="7",BH26,0)</f>
        <v>0</v>
      </c>
      <c r="AE26" s="40">
        <f>IF(AQ26="7",BI26,0)</f>
        <v>0</v>
      </c>
      <c r="AF26" s="40">
        <f>IF(AQ26="2",BH26,0)</f>
        <v>0</v>
      </c>
      <c r="AG26" s="40">
        <f>IF(AQ26="2",BI26,0)</f>
        <v>0</v>
      </c>
      <c r="AH26" s="40">
        <f>IF(AQ26="0",BJ26,0)</f>
        <v>0</v>
      </c>
      <c r="AI26" s="30"/>
      <c r="AJ26" s="21">
        <f>IF(AN26=0,J26,0)</f>
        <v>0</v>
      </c>
      <c r="AK26" s="21">
        <f>IF(AN26=15,J26,0)</f>
        <v>0</v>
      </c>
      <c r="AL26" s="21">
        <f>IF(AN26=21,J26,0)</f>
        <v>0</v>
      </c>
      <c r="AN26" s="40">
        <v>15</v>
      </c>
      <c r="AO26" s="40">
        <f>G26*0.236823529411765</f>
        <v>0</v>
      </c>
      <c r="AP26" s="40">
        <f>G26*(1-0.236823529411765)</f>
        <v>0</v>
      </c>
      <c r="AQ26" s="41" t="s">
        <v>13</v>
      </c>
      <c r="AV26" s="40">
        <f>AW26+AX26</f>
        <v>0</v>
      </c>
      <c r="AW26" s="40">
        <f>F26*AO26</f>
        <v>0</v>
      </c>
      <c r="AX26" s="40">
        <f>F26*AP26</f>
        <v>0</v>
      </c>
      <c r="AY26" s="43" t="s">
        <v>259</v>
      </c>
      <c r="AZ26" s="43" t="s">
        <v>276</v>
      </c>
      <c r="BA26" s="30" t="s">
        <v>284</v>
      </c>
      <c r="BC26" s="40">
        <f>AW26+AX26</f>
        <v>0</v>
      </c>
      <c r="BD26" s="40">
        <f>G26/(100-BE26)*100</f>
        <v>0</v>
      </c>
      <c r="BE26" s="40">
        <v>0</v>
      </c>
      <c r="BF26" s="40">
        <f>L26</f>
        <v>0.004137</v>
      </c>
      <c r="BH26" s="21">
        <f>F26*AO26</f>
        <v>0</v>
      </c>
      <c r="BI26" s="21">
        <f>F26*AP26</f>
        <v>0</v>
      </c>
      <c r="BJ26" s="21">
        <f>F26*G26</f>
        <v>0</v>
      </c>
      <c r="BK26" s="21" t="s">
        <v>289</v>
      </c>
      <c r="BL26" s="40">
        <v>711</v>
      </c>
    </row>
    <row r="27" spans="1:64" ht="12.75">
      <c r="A27" s="4" t="s">
        <v>17</v>
      </c>
      <c r="B27" s="13"/>
      <c r="C27" s="13" t="s">
        <v>80</v>
      </c>
      <c r="D27" s="13" t="s">
        <v>156</v>
      </c>
      <c r="E27" s="13" t="s">
        <v>221</v>
      </c>
      <c r="F27" s="21">
        <v>19.7</v>
      </c>
      <c r="G27" s="21"/>
      <c r="H27" s="21">
        <f>F27*AO27</f>
        <v>0</v>
      </c>
      <c r="I27" s="21">
        <f>F27*AP27</f>
        <v>0</v>
      </c>
      <c r="J27" s="21">
        <f>F27*G27</f>
        <v>0</v>
      </c>
      <c r="K27" s="21">
        <v>0.00473</v>
      </c>
      <c r="L27" s="21">
        <f>F27*K27</f>
        <v>0.093181</v>
      </c>
      <c r="M27" s="34"/>
      <c r="N27" s="38"/>
      <c r="Z27" s="40">
        <f>IF(AQ27="5",BJ27,0)</f>
        <v>0</v>
      </c>
      <c r="AB27" s="40">
        <f>IF(AQ27="1",BH27,0)</f>
        <v>0</v>
      </c>
      <c r="AC27" s="40">
        <f>IF(AQ27="1",BI27,0)</f>
        <v>0</v>
      </c>
      <c r="AD27" s="40">
        <f>IF(AQ27="7",BH27,0)</f>
        <v>0</v>
      </c>
      <c r="AE27" s="40">
        <f>IF(AQ27="7",BI27,0)</f>
        <v>0</v>
      </c>
      <c r="AF27" s="40">
        <f>IF(AQ27="2",BH27,0)</f>
        <v>0</v>
      </c>
      <c r="AG27" s="40">
        <f>IF(AQ27="2",BI27,0)</f>
        <v>0</v>
      </c>
      <c r="AH27" s="40">
        <f>IF(AQ27="0",BJ27,0)</f>
        <v>0</v>
      </c>
      <c r="AI27" s="30"/>
      <c r="AJ27" s="21">
        <f>IF(AN27=0,J27,0)</f>
        <v>0</v>
      </c>
      <c r="AK27" s="21">
        <f>IF(AN27=15,J27,0)</f>
        <v>0</v>
      </c>
      <c r="AL27" s="21">
        <f>IF(AN27=21,J27,0)</f>
        <v>0</v>
      </c>
      <c r="AN27" s="40">
        <v>15</v>
      </c>
      <c r="AO27" s="40">
        <f>G27*0.674686567164179</f>
        <v>0</v>
      </c>
      <c r="AP27" s="40">
        <f>G27*(1-0.674686567164179)</f>
        <v>0</v>
      </c>
      <c r="AQ27" s="41" t="s">
        <v>13</v>
      </c>
      <c r="AV27" s="40">
        <f>AW27+AX27</f>
        <v>0</v>
      </c>
      <c r="AW27" s="40">
        <f>F27*AO27</f>
        <v>0</v>
      </c>
      <c r="AX27" s="40">
        <f>F27*AP27</f>
        <v>0</v>
      </c>
      <c r="AY27" s="43" t="s">
        <v>259</v>
      </c>
      <c r="AZ27" s="43" t="s">
        <v>276</v>
      </c>
      <c r="BA27" s="30" t="s">
        <v>284</v>
      </c>
      <c r="BC27" s="40">
        <f>AW27+AX27</f>
        <v>0</v>
      </c>
      <c r="BD27" s="40">
        <f>G27/(100-BE27)*100</f>
        <v>0</v>
      </c>
      <c r="BE27" s="40">
        <v>0</v>
      </c>
      <c r="BF27" s="40">
        <f>L27</f>
        <v>0.093181</v>
      </c>
      <c r="BH27" s="21">
        <f>F27*AO27</f>
        <v>0</v>
      </c>
      <c r="BI27" s="21">
        <f>F27*AP27</f>
        <v>0</v>
      </c>
      <c r="BJ27" s="21">
        <f>F27*G27</f>
        <v>0</v>
      </c>
      <c r="BK27" s="21" t="s">
        <v>289</v>
      </c>
      <c r="BL27" s="40">
        <v>711</v>
      </c>
    </row>
    <row r="28" spans="1:64" ht="12.75">
      <c r="A28" s="4" t="s">
        <v>18</v>
      </c>
      <c r="B28" s="13"/>
      <c r="C28" s="13" t="s">
        <v>81</v>
      </c>
      <c r="D28" s="13" t="s">
        <v>157</v>
      </c>
      <c r="E28" s="13" t="s">
        <v>222</v>
      </c>
      <c r="F28" s="21">
        <v>12</v>
      </c>
      <c r="G28" s="21"/>
      <c r="H28" s="21">
        <f>F28*AO28</f>
        <v>0</v>
      </c>
      <c r="I28" s="21">
        <f>F28*AP28</f>
        <v>0</v>
      </c>
      <c r="J28" s="21">
        <f>F28*G28</f>
        <v>0</v>
      </c>
      <c r="K28" s="21">
        <v>0.00034</v>
      </c>
      <c r="L28" s="21">
        <f>F28*K28</f>
        <v>0.00408</v>
      </c>
      <c r="M28" s="34"/>
      <c r="N28" s="38"/>
      <c r="Z28" s="40">
        <f>IF(AQ28="5",BJ28,0)</f>
        <v>0</v>
      </c>
      <c r="AB28" s="40">
        <f>IF(AQ28="1",BH28,0)</f>
        <v>0</v>
      </c>
      <c r="AC28" s="40">
        <f>IF(AQ28="1",BI28,0)</f>
        <v>0</v>
      </c>
      <c r="AD28" s="40">
        <f>IF(AQ28="7",BH28,0)</f>
        <v>0</v>
      </c>
      <c r="AE28" s="40">
        <f>IF(AQ28="7",BI28,0)</f>
        <v>0</v>
      </c>
      <c r="AF28" s="40">
        <f>IF(AQ28="2",BH28,0)</f>
        <v>0</v>
      </c>
      <c r="AG28" s="40">
        <f>IF(AQ28="2",BI28,0)</f>
        <v>0</v>
      </c>
      <c r="AH28" s="40">
        <f>IF(AQ28="0",BJ28,0)</f>
        <v>0</v>
      </c>
      <c r="AI28" s="30"/>
      <c r="AJ28" s="21">
        <f>IF(AN28=0,J28,0)</f>
        <v>0</v>
      </c>
      <c r="AK28" s="21">
        <f>IF(AN28=15,J28,0)</f>
        <v>0</v>
      </c>
      <c r="AL28" s="21">
        <f>IF(AN28=21,J28,0)</f>
        <v>0</v>
      </c>
      <c r="AN28" s="40">
        <v>15</v>
      </c>
      <c r="AO28" s="40">
        <f>G28*0.787085714285714</f>
        <v>0</v>
      </c>
      <c r="AP28" s="40">
        <f>G28*(1-0.787085714285714)</f>
        <v>0</v>
      </c>
      <c r="AQ28" s="41" t="s">
        <v>13</v>
      </c>
      <c r="AV28" s="40">
        <f>AW28+AX28</f>
        <v>0</v>
      </c>
      <c r="AW28" s="40">
        <f>F28*AO28</f>
        <v>0</v>
      </c>
      <c r="AX28" s="40">
        <f>F28*AP28</f>
        <v>0</v>
      </c>
      <c r="AY28" s="43" t="s">
        <v>259</v>
      </c>
      <c r="AZ28" s="43" t="s">
        <v>276</v>
      </c>
      <c r="BA28" s="30" t="s">
        <v>284</v>
      </c>
      <c r="BC28" s="40">
        <f>AW28+AX28</f>
        <v>0</v>
      </c>
      <c r="BD28" s="40">
        <f>G28/(100-BE28)*100</f>
        <v>0</v>
      </c>
      <c r="BE28" s="40">
        <v>0</v>
      </c>
      <c r="BF28" s="40">
        <f>L28</f>
        <v>0.00408</v>
      </c>
      <c r="BH28" s="21">
        <f>F28*AO28</f>
        <v>0</v>
      </c>
      <c r="BI28" s="21">
        <f>F28*AP28</f>
        <v>0</v>
      </c>
      <c r="BJ28" s="21">
        <f>F28*G28</f>
        <v>0</v>
      </c>
      <c r="BK28" s="21" t="s">
        <v>289</v>
      </c>
      <c r="BL28" s="40">
        <v>711</v>
      </c>
    </row>
    <row r="29" spans="1:47" ht="12.75">
      <c r="A29" s="5"/>
      <c r="B29" s="14"/>
      <c r="C29" s="14" t="s">
        <v>82</v>
      </c>
      <c r="D29" s="14" t="s">
        <v>158</v>
      </c>
      <c r="E29" s="19" t="s">
        <v>6</v>
      </c>
      <c r="F29" s="19" t="s">
        <v>6</v>
      </c>
      <c r="G29" s="19" t="s">
        <v>6</v>
      </c>
      <c r="H29" s="46">
        <f>SUM(H30:H33)</f>
        <v>0</v>
      </c>
      <c r="I29" s="46">
        <f>SUM(I30:I33)</f>
        <v>0</v>
      </c>
      <c r="J29" s="46">
        <f>SUM(J30:J33)</f>
        <v>0</v>
      </c>
      <c r="K29" s="30"/>
      <c r="L29" s="46">
        <f>SUM(L30:L33)</f>
        <v>0.00693</v>
      </c>
      <c r="M29" s="35"/>
      <c r="N29" s="38"/>
      <c r="AI29" s="30"/>
      <c r="AS29" s="46">
        <f>SUM(AJ30:AJ33)</f>
        <v>0</v>
      </c>
      <c r="AT29" s="46">
        <f>SUM(AK30:AK33)</f>
        <v>0</v>
      </c>
      <c r="AU29" s="46">
        <f>SUM(AL30:AL33)</f>
        <v>0</v>
      </c>
    </row>
    <row r="30" spans="1:64" ht="12.75">
      <c r="A30" s="4" t="s">
        <v>19</v>
      </c>
      <c r="B30" s="13"/>
      <c r="C30" s="13" t="s">
        <v>83</v>
      </c>
      <c r="D30" s="13" t="s">
        <v>159</v>
      </c>
      <c r="E30" s="13" t="s">
        <v>224</v>
      </c>
      <c r="F30" s="21">
        <v>1</v>
      </c>
      <c r="G30" s="21"/>
      <c r="H30" s="21">
        <f>F30*AO30</f>
        <v>0</v>
      </c>
      <c r="I30" s="21">
        <f>F30*AP30</f>
        <v>0</v>
      </c>
      <c r="J30" s="21">
        <f>F30*G30</f>
        <v>0</v>
      </c>
      <c r="K30" s="21">
        <v>0.00049</v>
      </c>
      <c r="L30" s="21">
        <f>F30*K30</f>
        <v>0.00049</v>
      </c>
      <c r="M30" s="34"/>
      <c r="N30" s="38"/>
      <c r="Z30" s="40">
        <f>IF(AQ30="5",BJ30,0)</f>
        <v>0</v>
      </c>
      <c r="AB30" s="40">
        <f>IF(AQ30="1",BH30,0)</f>
        <v>0</v>
      </c>
      <c r="AC30" s="40">
        <f>IF(AQ30="1",BI30,0)</f>
        <v>0</v>
      </c>
      <c r="AD30" s="40">
        <f>IF(AQ30="7",BH30,0)</f>
        <v>0</v>
      </c>
      <c r="AE30" s="40">
        <f>IF(AQ30="7",BI30,0)</f>
        <v>0</v>
      </c>
      <c r="AF30" s="40">
        <f>IF(AQ30="2",BH30,0)</f>
        <v>0</v>
      </c>
      <c r="AG30" s="40">
        <f>IF(AQ30="2",BI30,0)</f>
        <v>0</v>
      </c>
      <c r="AH30" s="40">
        <f>IF(AQ30="0",BJ30,0)</f>
        <v>0</v>
      </c>
      <c r="AI30" s="30"/>
      <c r="AJ30" s="21">
        <f>IF(AN30=0,J30,0)</f>
        <v>0</v>
      </c>
      <c r="AK30" s="21">
        <f>IF(AN30=15,J30,0)</f>
        <v>0</v>
      </c>
      <c r="AL30" s="21">
        <f>IF(AN30=21,J30,0)</f>
        <v>0</v>
      </c>
      <c r="AN30" s="40">
        <v>15</v>
      </c>
      <c r="AO30" s="40">
        <f>G30*0.838428571428571</f>
        <v>0</v>
      </c>
      <c r="AP30" s="40">
        <f>G30*(1-0.838428571428571)</f>
        <v>0</v>
      </c>
      <c r="AQ30" s="41" t="s">
        <v>13</v>
      </c>
      <c r="AV30" s="40">
        <f>AW30+AX30</f>
        <v>0</v>
      </c>
      <c r="AW30" s="40">
        <f>F30*AO30</f>
        <v>0</v>
      </c>
      <c r="AX30" s="40">
        <f>F30*AP30</f>
        <v>0</v>
      </c>
      <c r="AY30" s="43" t="s">
        <v>260</v>
      </c>
      <c r="AZ30" s="43" t="s">
        <v>277</v>
      </c>
      <c r="BA30" s="30" t="s">
        <v>284</v>
      </c>
      <c r="BC30" s="40">
        <f>AW30+AX30</f>
        <v>0</v>
      </c>
      <c r="BD30" s="40">
        <f>G30/(100-BE30)*100</f>
        <v>0</v>
      </c>
      <c r="BE30" s="40">
        <v>0</v>
      </c>
      <c r="BF30" s="40">
        <f>L30</f>
        <v>0.00049</v>
      </c>
      <c r="BH30" s="21">
        <f>F30*AO30</f>
        <v>0</v>
      </c>
      <c r="BI30" s="21">
        <f>F30*AP30</f>
        <v>0</v>
      </c>
      <c r="BJ30" s="21">
        <f>F30*G30</f>
        <v>0</v>
      </c>
      <c r="BK30" s="21" t="s">
        <v>289</v>
      </c>
      <c r="BL30" s="40">
        <v>722</v>
      </c>
    </row>
    <row r="31" spans="1:64" ht="12.75">
      <c r="A31" s="4" t="s">
        <v>20</v>
      </c>
      <c r="B31" s="13"/>
      <c r="C31" s="13" t="s">
        <v>84</v>
      </c>
      <c r="D31" s="13" t="s">
        <v>160</v>
      </c>
      <c r="E31" s="13" t="s">
        <v>224</v>
      </c>
      <c r="F31" s="21">
        <v>1</v>
      </c>
      <c r="G31" s="21"/>
      <c r="H31" s="21">
        <f>F31*AO31</f>
        <v>0</v>
      </c>
      <c r="I31" s="21">
        <f>F31*AP31</f>
        <v>0</v>
      </c>
      <c r="J31" s="21">
        <f>F31*G31</f>
        <v>0</v>
      </c>
      <c r="K31" s="21">
        <v>0</v>
      </c>
      <c r="L31" s="21">
        <f>F31*K31</f>
        <v>0</v>
      </c>
      <c r="M31" s="34"/>
      <c r="N31" s="38"/>
      <c r="Z31" s="40">
        <f>IF(AQ31="5",BJ31,0)</f>
        <v>0</v>
      </c>
      <c r="AB31" s="40">
        <f>IF(AQ31="1",BH31,0)</f>
        <v>0</v>
      </c>
      <c r="AC31" s="40">
        <f>IF(AQ31="1",BI31,0)</f>
        <v>0</v>
      </c>
      <c r="AD31" s="40">
        <f>IF(AQ31="7",BH31,0)</f>
        <v>0</v>
      </c>
      <c r="AE31" s="40">
        <f>IF(AQ31="7",BI31,0)</f>
        <v>0</v>
      </c>
      <c r="AF31" s="40">
        <f>IF(AQ31="2",BH31,0)</f>
        <v>0</v>
      </c>
      <c r="AG31" s="40">
        <f>IF(AQ31="2",BI31,0)</f>
        <v>0</v>
      </c>
      <c r="AH31" s="40">
        <f>IF(AQ31="0",BJ31,0)</f>
        <v>0</v>
      </c>
      <c r="AI31" s="30"/>
      <c r="AJ31" s="21">
        <f>IF(AN31=0,J31,0)</f>
        <v>0</v>
      </c>
      <c r="AK31" s="21">
        <f>IF(AN31=15,J31,0)</f>
        <v>0</v>
      </c>
      <c r="AL31" s="21">
        <f>IF(AN31=21,J31,0)</f>
        <v>0</v>
      </c>
      <c r="AN31" s="40">
        <v>15</v>
      </c>
      <c r="AO31" s="40">
        <f>G31*0</f>
        <v>0</v>
      </c>
      <c r="AP31" s="40">
        <f>G31*(1-0)</f>
        <v>0</v>
      </c>
      <c r="AQ31" s="41" t="s">
        <v>13</v>
      </c>
      <c r="AV31" s="40">
        <f>AW31+AX31</f>
        <v>0</v>
      </c>
      <c r="AW31" s="40">
        <f>F31*AO31</f>
        <v>0</v>
      </c>
      <c r="AX31" s="40">
        <f>F31*AP31</f>
        <v>0</v>
      </c>
      <c r="AY31" s="43" t="s">
        <v>260</v>
      </c>
      <c r="AZ31" s="43" t="s">
        <v>277</v>
      </c>
      <c r="BA31" s="30" t="s">
        <v>284</v>
      </c>
      <c r="BC31" s="40">
        <f>AW31+AX31</f>
        <v>0</v>
      </c>
      <c r="BD31" s="40">
        <f>G31/(100-BE31)*100</f>
        <v>0</v>
      </c>
      <c r="BE31" s="40">
        <v>0</v>
      </c>
      <c r="BF31" s="40">
        <f>L31</f>
        <v>0</v>
      </c>
      <c r="BH31" s="21">
        <f>F31*AO31</f>
        <v>0</v>
      </c>
      <c r="BI31" s="21">
        <f>F31*AP31</f>
        <v>0</v>
      </c>
      <c r="BJ31" s="21">
        <f>F31*G31</f>
        <v>0</v>
      </c>
      <c r="BK31" s="21" t="s">
        <v>289</v>
      </c>
      <c r="BL31" s="40">
        <v>722</v>
      </c>
    </row>
    <row r="32" spans="1:64" ht="12.75">
      <c r="A32" s="4" t="s">
        <v>21</v>
      </c>
      <c r="B32" s="13"/>
      <c r="C32" s="13" t="s">
        <v>85</v>
      </c>
      <c r="D32" s="13" t="s">
        <v>161</v>
      </c>
      <c r="E32" s="13" t="s">
        <v>225</v>
      </c>
      <c r="F32" s="21">
        <v>1</v>
      </c>
      <c r="G32" s="21"/>
      <c r="H32" s="21">
        <f>F32*AO32</f>
        <v>0</v>
      </c>
      <c r="I32" s="21">
        <f>F32*AP32</f>
        <v>0</v>
      </c>
      <c r="J32" s="21">
        <f>F32*G32</f>
        <v>0</v>
      </c>
      <c r="K32" s="21">
        <v>0.00042</v>
      </c>
      <c r="L32" s="21">
        <f>F32*K32</f>
        <v>0.00042</v>
      </c>
      <c r="M32" s="34"/>
      <c r="N32" s="38"/>
      <c r="Z32" s="40">
        <f>IF(AQ32="5",BJ32,0)</f>
        <v>0</v>
      </c>
      <c r="AB32" s="40">
        <f>IF(AQ32="1",BH32,0)</f>
        <v>0</v>
      </c>
      <c r="AC32" s="40">
        <f>IF(AQ32="1",BI32,0)</f>
        <v>0</v>
      </c>
      <c r="AD32" s="40">
        <f>IF(AQ32="7",BH32,0)</f>
        <v>0</v>
      </c>
      <c r="AE32" s="40">
        <f>IF(AQ32="7",BI32,0)</f>
        <v>0</v>
      </c>
      <c r="AF32" s="40">
        <f>IF(AQ32="2",BH32,0)</f>
        <v>0</v>
      </c>
      <c r="AG32" s="40">
        <f>IF(AQ32="2",BI32,0)</f>
        <v>0</v>
      </c>
      <c r="AH32" s="40">
        <f>IF(AQ32="0",BJ32,0)</f>
        <v>0</v>
      </c>
      <c r="AI32" s="30"/>
      <c r="AJ32" s="21">
        <f>IF(AN32=0,J32,0)</f>
        <v>0</v>
      </c>
      <c r="AK32" s="21">
        <f>IF(AN32=15,J32,0)</f>
        <v>0</v>
      </c>
      <c r="AL32" s="21">
        <f>IF(AN32=21,J32,0)</f>
        <v>0</v>
      </c>
      <c r="AN32" s="40">
        <v>15</v>
      </c>
      <c r="AO32" s="40">
        <f>G32*0.131552083333333</f>
        <v>0</v>
      </c>
      <c r="AP32" s="40">
        <f>G32*(1-0.131552083333333)</f>
        <v>0</v>
      </c>
      <c r="AQ32" s="41" t="s">
        <v>13</v>
      </c>
      <c r="AV32" s="40">
        <f>AW32+AX32</f>
        <v>0</v>
      </c>
      <c r="AW32" s="40">
        <f>F32*AO32</f>
        <v>0</v>
      </c>
      <c r="AX32" s="40">
        <f>F32*AP32</f>
        <v>0</v>
      </c>
      <c r="AY32" s="43" t="s">
        <v>260</v>
      </c>
      <c r="AZ32" s="43" t="s">
        <v>277</v>
      </c>
      <c r="BA32" s="30" t="s">
        <v>284</v>
      </c>
      <c r="BC32" s="40">
        <f>AW32+AX32</f>
        <v>0</v>
      </c>
      <c r="BD32" s="40">
        <f>G32/(100-BE32)*100</f>
        <v>0</v>
      </c>
      <c r="BE32" s="40">
        <v>0</v>
      </c>
      <c r="BF32" s="40">
        <f>L32</f>
        <v>0.00042</v>
      </c>
      <c r="BH32" s="21">
        <f>F32*AO32</f>
        <v>0</v>
      </c>
      <c r="BI32" s="21">
        <f>F32*AP32</f>
        <v>0</v>
      </c>
      <c r="BJ32" s="21">
        <f>F32*G32</f>
        <v>0</v>
      </c>
      <c r="BK32" s="21" t="s">
        <v>289</v>
      </c>
      <c r="BL32" s="40">
        <v>722</v>
      </c>
    </row>
    <row r="33" spans="1:64" ht="12.75">
      <c r="A33" s="4" t="s">
        <v>22</v>
      </c>
      <c r="B33" s="13"/>
      <c r="C33" s="13" t="s">
        <v>86</v>
      </c>
      <c r="D33" s="13" t="s">
        <v>162</v>
      </c>
      <c r="E33" s="13" t="s">
        <v>225</v>
      </c>
      <c r="F33" s="21">
        <v>1</v>
      </c>
      <c r="G33" s="21"/>
      <c r="H33" s="21">
        <f>F33*AO33</f>
        <v>0</v>
      </c>
      <c r="I33" s="21">
        <f>F33*AP33</f>
        <v>0</v>
      </c>
      <c r="J33" s="21">
        <f>F33*G33</f>
        <v>0</v>
      </c>
      <c r="K33" s="21">
        <v>0.00602</v>
      </c>
      <c r="L33" s="21">
        <f>F33*K33</f>
        <v>0.00602</v>
      </c>
      <c r="M33" s="34"/>
      <c r="N33" s="38"/>
      <c r="Z33" s="40">
        <f>IF(AQ33="5",BJ33,0)</f>
        <v>0</v>
      </c>
      <c r="AB33" s="40">
        <f>IF(AQ33="1",BH33,0)</f>
        <v>0</v>
      </c>
      <c r="AC33" s="40">
        <f>IF(AQ33="1",BI33,0)</f>
        <v>0</v>
      </c>
      <c r="AD33" s="40">
        <f>IF(AQ33="7",BH33,0)</f>
        <v>0</v>
      </c>
      <c r="AE33" s="40">
        <f>IF(AQ33="7",BI33,0)</f>
        <v>0</v>
      </c>
      <c r="AF33" s="40">
        <f>IF(AQ33="2",BH33,0)</f>
        <v>0</v>
      </c>
      <c r="AG33" s="40">
        <f>IF(AQ33="2",BI33,0)</f>
        <v>0</v>
      </c>
      <c r="AH33" s="40">
        <f>IF(AQ33="0",BJ33,0)</f>
        <v>0</v>
      </c>
      <c r="AI33" s="30"/>
      <c r="AJ33" s="21">
        <f>IF(AN33=0,J33,0)</f>
        <v>0</v>
      </c>
      <c r="AK33" s="21">
        <f>IF(AN33=15,J33,0)</f>
        <v>0</v>
      </c>
      <c r="AL33" s="21">
        <f>IF(AN33=21,J33,0)</f>
        <v>0</v>
      </c>
      <c r="AN33" s="40">
        <v>15</v>
      </c>
      <c r="AO33" s="40">
        <f>G33*0.423007142857143</f>
        <v>0</v>
      </c>
      <c r="AP33" s="40">
        <f>G33*(1-0.423007142857143)</f>
        <v>0</v>
      </c>
      <c r="AQ33" s="41" t="s">
        <v>13</v>
      </c>
      <c r="AV33" s="40">
        <f>AW33+AX33</f>
        <v>0</v>
      </c>
      <c r="AW33" s="40">
        <f>F33*AO33</f>
        <v>0</v>
      </c>
      <c r="AX33" s="40">
        <f>F33*AP33</f>
        <v>0</v>
      </c>
      <c r="AY33" s="43" t="s">
        <v>260</v>
      </c>
      <c r="AZ33" s="43" t="s">
        <v>277</v>
      </c>
      <c r="BA33" s="30" t="s">
        <v>284</v>
      </c>
      <c r="BC33" s="40">
        <f>AW33+AX33</f>
        <v>0</v>
      </c>
      <c r="BD33" s="40">
        <f>G33/(100-BE33)*100</f>
        <v>0</v>
      </c>
      <c r="BE33" s="40">
        <v>0</v>
      </c>
      <c r="BF33" s="40">
        <f>L33</f>
        <v>0.00602</v>
      </c>
      <c r="BH33" s="21">
        <f>F33*AO33</f>
        <v>0</v>
      </c>
      <c r="BI33" s="21">
        <f>F33*AP33</f>
        <v>0</v>
      </c>
      <c r="BJ33" s="21">
        <f>F33*G33</f>
        <v>0</v>
      </c>
      <c r="BK33" s="21" t="s">
        <v>289</v>
      </c>
      <c r="BL33" s="40">
        <v>722</v>
      </c>
    </row>
    <row r="34" spans="1:47" ht="12.75">
      <c r="A34" s="5"/>
      <c r="B34" s="14"/>
      <c r="C34" s="14" t="s">
        <v>87</v>
      </c>
      <c r="D34" s="14" t="s">
        <v>163</v>
      </c>
      <c r="E34" s="19" t="s">
        <v>6</v>
      </c>
      <c r="F34" s="19" t="s">
        <v>6</v>
      </c>
      <c r="G34" s="19" t="s">
        <v>6</v>
      </c>
      <c r="H34" s="46">
        <f>SUM(H35:H35)</f>
        <v>0</v>
      </c>
      <c r="I34" s="46">
        <f>SUM(I35:I35)</f>
        <v>0</v>
      </c>
      <c r="J34" s="46">
        <f>SUM(J35:J35)</f>
        <v>0</v>
      </c>
      <c r="K34" s="30"/>
      <c r="L34" s="46">
        <f>SUM(L35:L35)</f>
        <v>0.00382</v>
      </c>
      <c r="M34" s="35"/>
      <c r="N34" s="38"/>
      <c r="AI34" s="30"/>
      <c r="AS34" s="46">
        <f>SUM(AJ35:AJ35)</f>
        <v>0</v>
      </c>
      <c r="AT34" s="46">
        <f>SUM(AK35:AK35)</f>
        <v>0</v>
      </c>
      <c r="AU34" s="46">
        <f>SUM(AL35:AL35)</f>
        <v>0</v>
      </c>
    </row>
    <row r="35" spans="1:64" ht="12.75">
      <c r="A35" s="4" t="s">
        <v>23</v>
      </c>
      <c r="B35" s="13"/>
      <c r="C35" s="13" t="s">
        <v>88</v>
      </c>
      <c r="D35" s="13" t="s">
        <v>164</v>
      </c>
      <c r="E35" s="13" t="s">
        <v>225</v>
      </c>
      <c r="F35" s="21">
        <v>1</v>
      </c>
      <c r="G35" s="21"/>
      <c r="H35" s="21">
        <f>F35*AO35</f>
        <v>0</v>
      </c>
      <c r="I35" s="21">
        <f>F35*AP35</f>
        <v>0</v>
      </c>
      <c r="J35" s="21">
        <f>F35*G35</f>
        <v>0</v>
      </c>
      <c r="K35" s="21">
        <v>0.00382</v>
      </c>
      <c r="L35" s="21">
        <f>F35*K35</f>
        <v>0.00382</v>
      </c>
      <c r="M35" s="34"/>
      <c r="N35" s="38"/>
      <c r="Z35" s="40">
        <f>IF(AQ35="5",BJ35,0)</f>
        <v>0</v>
      </c>
      <c r="AB35" s="40">
        <f>IF(AQ35="1",BH35,0)</f>
        <v>0</v>
      </c>
      <c r="AC35" s="40">
        <f>IF(AQ35="1",BI35,0)</f>
        <v>0</v>
      </c>
      <c r="AD35" s="40">
        <f>IF(AQ35="7",BH35,0)</f>
        <v>0</v>
      </c>
      <c r="AE35" s="40">
        <f>IF(AQ35="7",BI35,0)</f>
        <v>0</v>
      </c>
      <c r="AF35" s="40">
        <f>IF(AQ35="2",BH35,0)</f>
        <v>0</v>
      </c>
      <c r="AG35" s="40">
        <f>IF(AQ35="2",BI35,0)</f>
        <v>0</v>
      </c>
      <c r="AH35" s="40">
        <f>IF(AQ35="0",BJ35,0)</f>
        <v>0</v>
      </c>
      <c r="AI35" s="30"/>
      <c r="AJ35" s="21">
        <f>IF(AN35=0,J35,0)</f>
        <v>0</v>
      </c>
      <c r="AK35" s="21">
        <f>IF(AN35=15,J35,0)</f>
        <v>0</v>
      </c>
      <c r="AL35" s="21">
        <f>IF(AN35=21,J35,0)</f>
        <v>0</v>
      </c>
      <c r="AN35" s="40">
        <v>15</v>
      </c>
      <c r="AO35" s="40">
        <f>G35*0.804431764705882</f>
        <v>0</v>
      </c>
      <c r="AP35" s="40">
        <f>G35*(1-0.804431764705882)</f>
        <v>0</v>
      </c>
      <c r="AQ35" s="41" t="s">
        <v>13</v>
      </c>
      <c r="AV35" s="40">
        <f>AW35+AX35</f>
        <v>0</v>
      </c>
      <c r="AW35" s="40">
        <f>F35*AO35</f>
        <v>0</v>
      </c>
      <c r="AX35" s="40">
        <f>F35*AP35</f>
        <v>0</v>
      </c>
      <c r="AY35" s="43" t="s">
        <v>261</v>
      </c>
      <c r="AZ35" s="43" t="s">
        <v>277</v>
      </c>
      <c r="BA35" s="30" t="s">
        <v>284</v>
      </c>
      <c r="BC35" s="40">
        <f>AW35+AX35</f>
        <v>0</v>
      </c>
      <c r="BD35" s="40">
        <f>G35/(100-BE35)*100</f>
        <v>0</v>
      </c>
      <c r="BE35" s="40">
        <v>0</v>
      </c>
      <c r="BF35" s="40">
        <f>L35</f>
        <v>0.00382</v>
      </c>
      <c r="BH35" s="21">
        <f>F35*AO35</f>
        <v>0</v>
      </c>
      <c r="BI35" s="21">
        <f>F35*AP35</f>
        <v>0</v>
      </c>
      <c r="BJ35" s="21">
        <f>F35*G35</f>
        <v>0</v>
      </c>
      <c r="BK35" s="21" t="s">
        <v>289</v>
      </c>
      <c r="BL35" s="40">
        <v>728</v>
      </c>
    </row>
    <row r="36" spans="1:47" ht="12.75">
      <c r="A36" s="5"/>
      <c r="B36" s="14"/>
      <c r="C36" s="14" t="s">
        <v>89</v>
      </c>
      <c r="D36" s="14" t="s">
        <v>165</v>
      </c>
      <c r="E36" s="19" t="s">
        <v>6</v>
      </c>
      <c r="F36" s="19" t="s">
        <v>6</v>
      </c>
      <c r="G36" s="19" t="s">
        <v>6</v>
      </c>
      <c r="H36" s="46">
        <f>SUM(H37:H37)</f>
        <v>0</v>
      </c>
      <c r="I36" s="46">
        <f>SUM(I37:I37)</f>
        <v>0</v>
      </c>
      <c r="J36" s="46">
        <f>SUM(J37:J37)</f>
        <v>0</v>
      </c>
      <c r="K36" s="30"/>
      <c r="L36" s="46">
        <f>SUM(L37:L37)</f>
        <v>0.0816</v>
      </c>
      <c r="M36" s="35"/>
      <c r="N36" s="38"/>
      <c r="AI36" s="30"/>
      <c r="AS36" s="46">
        <f>SUM(AJ37:AJ37)</f>
        <v>0</v>
      </c>
      <c r="AT36" s="46">
        <f>SUM(AK37:AK37)</f>
        <v>0</v>
      </c>
      <c r="AU36" s="46">
        <f>SUM(AL37:AL37)</f>
        <v>0</v>
      </c>
    </row>
    <row r="37" spans="1:64" ht="12.75">
      <c r="A37" s="4" t="s">
        <v>24</v>
      </c>
      <c r="B37" s="13"/>
      <c r="C37" s="13" t="s">
        <v>90</v>
      </c>
      <c r="D37" s="13" t="s">
        <v>166</v>
      </c>
      <c r="E37" s="13" t="s">
        <v>225</v>
      </c>
      <c r="F37" s="21">
        <v>5</v>
      </c>
      <c r="G37" s="21"/>
      <c r="H37" s="21">
        <f>F37*AO37</f>
        <v>0</v>
      </c>
      <c r="I37" s="21">
        <f>F37*AP37</f>
        <v>0</v>
      </c>
      <c r="J37" s="21">
        <f>F37*G37</f>
        <v>0</v>
      </c>
      <c r="K37" s="21">
        <v>0.01632</v>
      </c>
      <c r="L37" s="21">
        <f>F37*K37</f>
        <v>0.0816</v>
      </c>
      <c r="M37" s="34"/>
      <c r="N37" s="38"/>
      <c r="Z37" s="40">
        <f>IF(AQ37="5",BJ37,0)</f>
        <v>0</v>
      </c>
      <c r="AB37" s="40">
        <f>IF(AQ37="1",BH37,0)</f>
        <v>0</v>
      </c>
      <c r="AC37" s="40">
        <f>IF(AQ37="1",BI37,0)</f>
        <v>0</v>
      </c>
      <c r="AD37" s="40">
        <f>IF(AQ37="7",BH37,0)</f>
        <v>0</v>
      </c>
      <c r="AE37" s="40">
        <f>IF(AQ37="7",BI37,0)</f>
        <v>0</v>
      </c>
      <c r="AF37" s="40">
        <f>IF(AQ37="2",BH37,0)</f>
        <v>0</v>
      </c>
      <c r="AG37" s="40">
        <f>IF(AQ37="2",BI37,0)</f>
        <v>0</v>
      </c>
      <c r="AH37" s="40">
        <f>IF(AQ37="0",BJ37,0)</f>
        <v>0</v>
      </c>
      <c r="AI37" s="30"/>
      <c r="AJ37" s="21">
        <f>IF(AN37=0,J37,0)</f>
        <v>0</v>
      </c>
      <c r="AK37" s="21">
        <f>IF(AN37=15,J37,0)</f>
        <v>0</v>
      </c>
      <c r="AL37" s="21">
        <f>IF(AN37=21,J37,0)</f>
        <v>0</v>
      </c>
      <c r="AN37" s="40">
        <v>15</v>
      </c>
      <c r="AO37" s="40">
        <f>G37*0.936880232558139</f>
        <v>0</v>
      </c>
      <c r="AP37" s="40">
        <f>G37*(1-0.936880232558139)</f>
        <v>0</v>
      </c>
      <c r="AQ37" s="41" t="s">
        <v>13</v>
      </c>
      <c r="AV37" s="40">
        <f>AW37+AX37</f>
        <v>0</v>
      </c>
      <c r="AW37" s="40">
        <f>F37*AO37</f>
        <v>0</v>
      </c>
      <c r="AX37" s="40">
        <f>F37*AP37</f>
        <v>0</v>
      </c>
      <c r="AY37" s="43" t="s">
        <v>262</v>
      </c>
      <c r="AZ37" s="43" t="s">
        <v>278</v>
      </c>
      <c r="BA37" s="30" t="s">
        <v>284</v>
      </c>
      <c r="BC37" s="40">
        <f>AW37+AX37</f>
        <v>0</v>
      </c>
      <c r="BD37" s="40">
        <f>G37/(100-BE37)*100</f>
        <v>0</v>
      </c>
      <c r="BE37" s="40">
        <v>0</v>
      </c>
      <c r="BF37" s="40">
        <f>L37</f>
        <v>0.0816</v>
      </c>
      <c r="BH37" s="21">
        <f>F37*AO37</f>
        <v>0</v>
      </c>
      <c r="BI37" s="21">
        <f>F37*AP37</f>
        <v>0</v>
      </c>
      <c r="BJ37" s="21">
        <f>F37*G37</f>
        <v>0</v>
      </c>
      <c r="BK37" s="21" t="s">
        <v>289</v>
      </c>
      <c r="BL37" s="40">
        <v>735</v>
      </c>
    </row>
    <row r="38" spans="1:47" ht="12.75">
      <c r="A38" s="5"/>
      <c r="B38" s="14"/>
      <c r="C38" s="14" t="s">
        <v>91</v>
      </c>
      <c r="D38" s="14" t="s">
        <v>167</v>
      </c>
      <c r="E38" s="19" t="s">
        <v>6</v>
      </c>
      <c r="F38" s="19" t="s">
        <v>6</v>
      </c>
      <c r="G38" s="19" t="s">
        <v>6</v>
      </c>
      <c r="H38" s="46">
        <f>SUM(H39:H39)</f>
        <v>0</v>
      </c>
      <c r="I38" s="46">
        <f>SUM(I39:I39)</f>
        <v>0</v>
      </c>
      <c r="J38" s="46">
        <f>SUM(J39:J39)</f>
        <v>0</v>
      </c>
      <c r="K38" s="30"/>
      <c r="L38" s="46">
        <f>SUM(L39:L39)</f>
        <v>0.184</v>
      </c>
      <c r="M38" s="35"/>
      <c r="N38" s="38"/>
      <c r="AI38" s="30"/>
      <c r="AS38" s="46">
        <f>SUM(AJ39:AJ39)</f>
        <v>0</v>
      </c>
      <c r="AT38" s="46">
        <f>SUM(AK39:AK39)</f>
        <v>0</v>
      </c>
      <c r="AU38" s="46">
        <f>SUM(AL39:AL39)</f>
        <v>0</v>
      </c>
    </row>
    <row r="39" spans="1:64" ht="12.75">
      <c r="A39" s="4" t="s">
        <v>25</v>
      </c>
      <c r="B39" s="13"/>
      <c r="C39" s="13" t="s">
        <v>92</v>
      </c>
      <c r="D39" s="13" t="s">
        <v>168</v>
      </c>
      <c r="E39" s="13" t="s">
        <v>225</v>
      </c>
      <c r="F39" s="21">
        <v>1</v>
      </c>
      <c r="G39" s="21"/>
      <c r="H39" s="21">
        <f>F39*AO39</f>
        <v>0</v>
      </c>
      <c r="I39" s="21">
        <f>F39*AP39</f>
        <v>0</v>
      </c>
      <c r="J39" s="21">
        <f>F39*G39</f>
        <v>0</v>
      </c>
      <c r="K39" s="21">
        <v>0.184</v>
      </c>
      <c r="L39" s="21">
        <f>F39*K39</f>
        <v>0.184</v>
      </c>
      <c r="M39" s="34"/>
      <c r="N39" s="38"/>
      <c r="Z39" s="40">
        <f>IF(AQ39="5",BJ39,0)</f>
        <v>0</v>
      </c>
      <c r="AB39" s="40">
        <f>IF(AQ39="1",BH39,0)</f>
        <v>0</v>
      </c>
      <c r="AC39" s="40">
        <f>IF(AQ39="1",BI39,0)</f>
        <v>0</v>
      </c>
      <c r="AD39" s="40">
        <f>IF(AQ39="7",BH39,0)</f>
        <v>0</v>
      </c>
      <c r="AE39" s="40">
        <f>IF(AQ39="7",BI39,0)</f>
        <v>0</v>
      </c>
      <c r="AF39" s="40">
        <f>IF(AQ39="2",BH39,0)</f>
        <v>0</v>
      </c>
      <c r="AG39" s="40">
        <f>IF(AQ39="2",BI39,0)</f>
        <v>0</v>
      </c>
      <c r="AH39" s="40">
        <f>IF(AQ39="0",BJ39,0)</f>
        <v>0</v>
      </c>
      <c r="AI39" s="30"/>
      <c r="AJ39" s="21">
        <f>IF(AN39=0,J39,0)</f>
        <v>0</v>
      </c>
      <c r="AK39" s="21">
        <f>IF(AN39=15,J39,0)</f>
        <v>0</v>
      </c>
      <c r="AL39" s="21">
        <f>IF(AN39=21,J39,0)</f>
        <v>0</v>
      </c>
      <c r="AN39" s="40">
        <v>15</v>
      </c>
      <c r="AO39" s="40">
        <f>G39*0.819885882352941</f>
        <v>0</v>
      </c>
      <c r="AP39" s="40">
        <f>G39*(1-0.819885882352941)</f>
        <v>0</v>
      </c>
      <c r="AQ39" s="41" t="s">
        <v>13</v>
      </c>
      <c r="AV39" s="40">
        <f>AW39+AX39</f>
        <v>0</v>
      </c>
      <c r="AW39" s="40">
        <f>F39*AO39</f>
        <v>0</v>
      </c>
      <c r="AX39" s="40">
        <f>F39*AP39</f>
        <v>0</v>
      </c>
      <c r="AY39" s="43" t="s">
        <v>263</v>
      </c>
      <c r="AZ39" s="43" t="s">
        <v>279</v>
      </c>
      <c r="BA39" s="30" t="s">
        <v>284</v>
      </c>
      <c r="BC39" s="40">
        <f>AW39+AX39</f>
        <v>0</v>
      </c>
      <c r="BD39" s="40">
        <f>G39/(100-BE39)*100</f>
        <v>0</v>
      </c>
      <c r="BE39" s="40">
        <v>0</v>
      </c>
      <c r="BF39" s="40">
        <f>L39</f>
        <v>0.184</v>
      </c>
      <c r="BH39" s="21">
        <f>F39*AO39</f>
        <v>0</v>
      </c>
      <c r="BI39" s="21">
        <f>F39*AP39</f>
        <v>0</v>
      </c>
      <c r="BJ39" s="21">
        <f>F39*G39</f>
        <v>0</v>
      </c>
      <c r="BK39" s="21" t="s">
        <v>289</v>
      </c>
      <c r="BL39" s="40">
        <v>766</v>
      </c>
    </row>
    <row r="40" spans="1:47" ht="12.75">
      <c r="A40" s="5"/>
      <c r="B40" s="14"/>
      <c r="C40" s="14" t="s">
        <v>93</v>
      </c>
      <c r="D40" s="14" t="s">
        <v>169</v>
      </c>
      <c r="E40" s="19" t="s">
        <v>6</v>
      </c>
      <c r="F40" s="19" t="s">
        <v>6</v>
      </c>
      <c r="G40" s="19" t="s">
        <v>6</v>
      </c>
      <c r="H40" s="46">
        <f>SUM(H41:H44)</f>
        <v>0</v>
      </c>
      <c r="I40" s="46">
        <f>SUM(I41:I44)</f>
        <v>0</v>
      </c>
      <c r="J40" s="46">
        <f>SUM(J41:J44)</f>
        <v>0</v>
      </c>
      <c r="K40" s="30"/>
      <c r="L40" s="46">
        <f>SUM(L41:L44)</f>
        <v>0.52835</v>
      </c>
      <c r="M40" s="35"/>
      <c r="N40" s="38"/>
      <c r="AI40" s="30"/>
      <c r="AS40" s="46">
        <f>SUM(AJ41:AJ44)</f>
        <v>0</v>
      </c>
      <c r="AT40" s="46">
        <f>SUM(AK41:AK44)</f>
        <v>0</v>
      </c>
      <c r="AU40" s="46">
        <f>SUM(AL41:AL44)</f>
        <v>0</v>
      </c>
    </row>
    <row r="41" spans="1:64" ht="12.75">
      <c r="A41" s="4" t="s">
        <v>26</v>
      </c>
      <c r="B41" s="13"/>
      <c r="C41" s="13" t="s">
        <v>94</v>
      </c>
      <c r="D41" s="13" t="s">
        <v>170</v>
      </c>
      <c r="E41" s="13" t="s">
        <v>221</v>
      </c>
      <c r="F41" s="21">
        <v>7.5</v>
      </c>
      <c r="G41" s="21"/>
      <c r="H41" s="21">
        <f>F41*AO41</f>
        <v>0</v>
      </c>
      <c r="I41" s="21">
        <f>F41*AP41</f>
        <v>0</v>
      </c>
      <c r="J41" s="21">
        <f>F41*G41</f>
        <v>0</v>
      </c>
      <c r="K41" s="21">
        <v>0.00021</v>
      </c>
      <c r="L41" s="21">
        <f>F41*K41</f>
        <v>0.001575</v>
      </c>
      <c r="M41" s="34"/>
      <c r="N41" s="38"/>
      <c r="Z41" s="40">
        <f>IF(AQ41="5",BJ41,0)</f>
        <v>0</v>
      </c>
      <c r="AB41" s="40">
        <f>IF(AQ41="1",BH41,0)</f>
        <v>0</v>
      </c>
      <c r="AC41" s="40">
        <f>IF(AQ41="1",BI41,0)</f>
        <v>0</v>
      </c>
      <c r="AD41" s="40">
        <f>IF(AQ41="7",BH41,0)</f>
        <v>0</v>
      </c>
      <c r="AE41" s="40">
        <f>IF(AQ41="7",BI41,0)</f>
        <v>0</v>
      </c>
      <c r="AF41" s="40">
        <f>IF(AQ41="2",BH41,0)</f>
        <v>0</v>
      </c>
      <c r="AG41" s="40">
        <f>IF(AQ41="2",BI41,0)</f>
        <v>0</v>
      </c>
      <c r="AH41" s="40">
        <f>IF(AQ41="0",BJ41,0)</f>
        <v>0</v>
      </c>
      <c r="AI41" s="30"/>
      <c r="AJ41" s="21">
        <f>IF(AN41=0,J41,0)</f>
        <v>0</v>
      </c>
      <c r="AK41" s="21">
        <f>IF(AN41=15,J41,0)</f>
        <v>0</v>
      </c>
      <c r="AL41" s="21">
        <f>IF(AN41=21,J41,0)</f>
        <v>0</v>
      </c>
      <c r="AN41" s="40">
        <v>15</v>
      </c>
      <c r="AO41" s="40">
        <f>G41*0.493692307692308</f>
        <v>0</v>
      </c>
      <c r="AP41" s="40">
        <f>G41*(1-0.493692307692308)</f>
        <v>0</v>
      </c>
      <c r="AQ41" s="41" t="s">
        <v>13</v>
      </c>
      <c r="AV41" s="40">
        <f>AW41+AX41</f>
        <v>0</v>
      </c>
      <c r="AW41" s="40">
        <f>F41*AO41</f>
        <v>0</v>
      </c>
      <c r="AX41" s="40">
        <f>F41*AP41</f>
        <v>0</v>
      </c>
      <c r="AY41" s="43" t="s">
        <v>264</v>
      </c>
      <c r="AZ41" s="43" t="s">
        <v>280</v>
      </c>
      <c r="BA41" s="30" t="s">
        <v>284</v>
      </c>
      <c r="BC41" s="40">
        <f>AW41+AX41</f>
        <v>0</v>
      </c>
      <c r="BD41" s="40">
        <f>G41/(100-BE41)*100</f>
        <v>0</v>
      </c>
      <c r="BE41" s="40">
        <v>0</v>
      </c>
      <c r="BF41" s="40">
        <f>L41</f>
        <v>0.001575</v>
      </c>
      <c r="BH41" s="21">
        <f>F41*AO41</f>
        <v>0</v>
      </c>
      <c r="BI41" s="21">
        <f>F41*AP41</f>
        <v>0</v>
      </c>
      <c r="BJ41" s="21">
        <f>F41*G41</f>
        <v>0</v>
      </c>
      <c r="BK41" s="21" t="s">
        <v>289</v>
      </c>
      <c r="BL41" s="40">
        <v>771</v>
      </c>
    </row>
    <row r="42" spans="1:64" ht="12.75">
      <c r="A42" s="4" t="s">
        <v>27</v>
      </c>
      <c r="B42" s="13"/>
      <c r="C42" s="13" t="s">
        <v>95</v>
      </c>
      <c r="D42" s="13" t="s">
        <v>171</v>
      </c>
      <c r="E42" s="13" t="s">
        <v>221</v>
      </c>
      <c r="F42" s="21">
        <v>7.5</v>
      </c>
      <c r="G42" s="21"/>
      <c r="H42" s="21">
        <f>F42*AO42</f>
        <v>0</v>
      </c>
      <c r="I42" s="21">
        <f>F42*AP42</f>
        <v>0</v>
      </c>
      <c r="J42" s="21">
        <f>F42*G42</f>
        <v>0</v>
      </c>
      <c r="K42" s="21">
        <v>0.00515</v>
      </c>
      <c r="L42" s="21">
        <f>F42*K42</f>
        <v>0.038625</v>
      </c>
      <c r="M42" s="34"/>
      <c r="N42" s="38"/>
      <c r="Z42" s="40">
        <f>IF(AQ42="5",BJ42,0)</f>
        <v>0</v>
      </c>
      <c r="AB42" s="40">
        <f>IF(AQ42="1",BH42,0)</f>
        <v>0</v>
      </c>
      <c r="AC42" s="40">
        <f>IF(AQ42="1",BI42,0)</f>
        <v>0</v>
      </c>
      <c r="AD42" s="40">
        <f>IF(AQ42="7",BH42,0)</f>
        <v>0</v>
      </c>
      <c r="AE42" s="40">
        <f>IF(AQ42="7",BI42,0)</f>
        <v>0</v>
      </c>
      <c r="AF42" s="40">
        <f>IF(AQ42="2",BH42,0)</f>
        <v>0</v>
      </c>
      <c r="AG42" s="40">
        <f>IF(AQ42="2",BI42,0)</f>
        <v>0</v>
      </c>
      <c r="AH42" s="40">
        <f>IF(AQ42="0",BJ42,0)</f>
        <v>0</v>
      </c>
      <c r="AI42" s="30"/>
      <c r="AJ42" s="21">
        <f>IF(AN42=0,J42,0)</f>
        <v>0</v>
      </c>
      <c r="AK42" s="21">
        <f>IF(AN42=15,J42,0)</f>
        <v>0</v>
      </c>
      <c r="AL42" s="21">
        <f>IF(AN42=21,J42,0)</f>
        <v>0</v>
      </c>
      <c r="AN42" s="40">
        <v>15</v>
      </c>
      <c r="AO42" s="40">
        <f>G42*0.177584615384615</f>
        <v>0</v>
      </c>
      <c r="AP42" s="40">
        <f>G42*(1-0.177584615384615)</f>
        <v>0</v>
      </c>
      <c r="AQ42" s="41" t="s">
        <v>13</v>
      </c>
      <c r="AV42" s="40">
        <f>AW42+AX42</f>
        <v>0</v>
      </c>
      <c r="AW42" s="40">
        <f>F42*AO42</f>
        <v>0</v>
      </c>
      <c r="AX42" s="40">
        <f>F42*AP42</f>
        <v>0</v>
      </c>
      <c r="AY42" s="43" t="s">
        <v>264</v>
      </c>
      <c r="AZ42" s="43" t="s">
        <v>280</v>
      </c>
      <c r="BA42" s="30" t="s">
        <v>284</v>
      </c>
      <c r="BC42" s="40">
        <f>AW42+AX42</f>
        <v>0</v>
      </c>
      <c r="BD42" s="40">
        <f>G42/(100-BE42)*100</f>
        <v>0</v>
      </c>
      <c r="BE42" s="40">
        <v>0</v>
      </c>
      <c r="BF42" s="40">
        <f>L42</f>
        <v>0.038625</v>
      </c>
      <c r="BH42" s="21">
        <f>F42*AO42</f>
        <v>0</v>
      </c>
      <c r="BI42" s="21">
        <f>F42*AP42</f>
        <v>0</v>
      </c>
      <c r="BJ42" s="21">
        <f>F42*G42</f>
        <v>0</v>
      </c>
      <c r="BK42" s="21" t="s">
        <v>289</v>
      </c>
      <c r="BL42" s="40">
        <v>771</v>
      </c>
    </row>
    <row r="43" spans="1:64" ht="12.75">
      <c r="A43" s="4" t="s">
        <v>28</v>
      </c>
      <c r="B43" s="13"/>
      <c r="C43" s="13" t="s">
        <v>96</v>
      </c>
      <c r="D43" s="13" t="s">
        <v>172</v>
      </c>
      <c r="E43" s="13" t="s">
        <v>222</v>
      </c>
      <c r="F43" s="21">
        <v>1</v>
      </c>
      <c r="G43" s="21"/>
      <c r="H43" s="21">
        <f>F43*AO43</f>
        <v>0</v>
      </c>
      <c r="I43" s="21">
        <f>F43*AP43</f>
        <v>0</v>
      </c>
      <c r="J43" s="21">
        <f>F43*G43</f>
        <v>0</v>
      </c>
      <c r="K43" s="21">
        <v>0.00015</v>
      </c>
      <c r="L43" s="21">
        <f>F43*K43</f>
        <v>0.00015</v>
      </c>
      <c r="M43" s="34"/>
      <c r="N43" s="38"/>
      <c r="Z43" s="40">
        <f>IF(AQ43="5",BJ43,0)</f>
        <v>0</v>
      </c>
      <c r="AB43" s="40">
        <f>IF(AQ43="1",BH43,0)</f>
        <v>0</v>
      </c>
      <c r="AC43" s="40">
        <f>IF(AQ43="1",BI43,0)</f>
        <v>0</v>
      </c>
      <c r="AD43" s="40">
        <f>IF(AQ43="7",BH43,0)</f>
        <v>0</v>
      </c>
      <c r="AE43" s="40">
        <f>IF(AQ43="7",BI43,0)</f>
        <v>0</v>
      </c>
      <c r="AF43" s="40">
        <f>IF(AQ43="2",BH43,0)</f>
        <v>0</v>
      </c>
      <c r="AG43" s="40">
        <f>IF(AQ43="2",BI43,0)</f>
        <v>0</v>
      </c>
      <c r="AH43" s="40">
        <f>IF(AQ43="0",BJ43,0)</f>
        <v>0</v>
      </c>
      <c r="AI43" s="30"/>
      <c r="AJ43" s="21">
        <f>IF(AN43=0,J43,0)</f>
        <v>0</v>
      </c>
      <c r="AK43" s="21">
        <f>IF(AN43=15,J43,0)</f>
        <v>0</v>
      </c>
      <c r="AL43" s="21">
        <f>IF(AN43=21,J43,0)</f>
        <v>0</v>
      </c>
      <c r="AN43" s="40">
        <v>15</v>
      </c>
      <c r="AO43" s="40">
        <f>G43*0.712267857142857</f>
        <v>0</v>
      </c>
      <c r="AP43" s="40">
        <f>G43*(1-0.712267857142857)</f>
        <v>0</v>
      </c>
      <c r="AQ43" s="41" t="s">
        <v>13</v>
      </c>
      <c r="AV43" s="40">
        <f>AW43+AX43</f>
        <v>0</v>
      </c>
      <c r="AW43" s="40">
        <f>F43*AO43</f>
        <v>0</v>
      </c>
      <c r="AX43" s="40">
        <f>F43*AP43</f>
        <v>0</v>
      </c>
      <c r="AY43" s="43" t="s">
        <v>264</v>
      </c>
      <c r="AZ43" s="43" t="s">
        <v>280</v>
      </c>
      <c r="BA43" s="30" t="s">
        <v>284</v>
      </c>
      <c r="BC43" s="40">
        <f>AW43+AX43</f>
        <v>0</v>
      </c>
      <c r="BD43" s="40">
        <f>G43/(100-BE43)*100</f>
        <v>0</v>
      </c>
      <c r="BE43" s="40">
        <v>0</v>
      </c>
      <c r="BF43" s="40">
        <f>L43</f>
        <v>0.00015</v>
      </c>
      <c r="BH43" s="21">
        <f>F43*AO43</f>
        <v>0</v>
      </c>
      <c r="BI43" s="21">
        <f>F43*AP43</f>
        <v>0</v>
      </c>
      <c r="BJ43" s="21">
        <f>F43*G43</f>
        <v>0</v>
      </c>
      <c r="BK43" s="21" t="s">
        <v>289</v>
      </c>
      <c r="BL43" s="40">
        <v>771</v>
      </c>
    </row>
    <row r="44" spans="1:64" ht="12.75">
      <c r="A44" s="4" t="s">
        <v>29</v>
      </c>
      <c r="B44" s="13"/>
      <c r="C44" s="13" t="s">
        <v>97</v>
      </c>
      <c r="D44" s="13" t="s">
        <v>173</v>
      </c>
      <c r="E44" s="13" t="s">
        <v>221</v>
      </c>
      <c r="F44" s="21">
        <v>3.2</v>
      </c>
      <c r="G44" s="21"/>
      <c r="H44" s="21">
        <f>F44*AO44</f>
        <v>0</v>
      </c>
      <c r="I44" s="21">
        <f>F44*AP44</f>
        <v>0</v>
      </c>
      <c r="J44" s="21">
        <f>F44*G44</f>
        <v>0</v>
      </c>
      <c r="K44" s="21">
        <v>0.1525</v>
      </c>
      <c r="L44" s="21">
        <f>F44*K44</f>
        <v>0.488</v>
      </c>
      <c r="M44" s="34"/>
      <c r="N44" s="38"/>
      <c r="Z44" s="40">
        <f>IF(AQ44="5",BJ44,0)</f>
        <v>0</v>
      </c>
      <c r="AB44" s="40">
        <f>IF(AQ44="1",BH44,0)</f>
        <v>0</v>
      </c>
      <c r="AC44" s="40">
        <f>IF(AQ44="1",BI44,0)</f>
        <v>0</v>
      </c>
      <c r="AD44" s="40">
        <f>IF(AQ44="7",BH44,0)</f>
        <v>0</v>
      </c>
      <c r="AE44" s="40">
        <f>IF(AQ44="7",BI44,0)</f>
        <v>0</v>
      </c>
      <c r="AF44" s="40">
        <f>IF(AQ44="2",BH44,0)</f>
        <v>0</v>
      </c>
      <c r="AG44" s="40">
        <f>IF(AQ44="2",BI44,0)</f>
        <v>0</v>
      </c>
      <c r="AH44" s="40">
        <f>IF(AQ44="0",BJ44,0)</f>
        <v>0</v>
      </c>
      <c r="AI44" s="30"/>
      <c r="AJ44" s="21">
        <f>IF(AN44=0,J44,0)</f>
        <v>0</v>
      </c>
      <c r="AK44" s="21">
        <f>IF(AN44=15,J44,0)</f>
        <v>0</v>
      </c>
      <c r="AL44" s="21">
        <f>IF(AN44=21,J44,0)</f>
        <v>0</v>
      </c>
      <c r="AN44" s="40">
        <v>15</v>
      </c>
      <c r="AO44" s="40">
        <f>G44*0.416181818181818</f>
        <v>0</v>
      </c>
      <c r="AP44" s="40">
        <f>G44*(1-0.416181818181818)</f>
        <v>0</v>
      </c>
      <c r="AQ44" s="41" t="s">
        <v>13</v>
      </c>
      <c r="AV44" s="40">
        <f>AW44+AX44</f>
        <v>0</v>
      </c>
      <c r="AW44" s="40">
        <f>F44*AO44</f>
        <v>0</v>
      </c>
      <c r="AX44" s="40">
        <f>F44*AP44</f>
        <v>0</v>
      </c>
      <c r="AY44" s="43" t="s">
        <v>264</v>
      </c>
      <c r="AZ44" s="43" t="s">
        <v>280</v>
      </c>
      <c r="BA44" s="30" t="s">
        <v>284</v>
      </c>
      <c r="BC44" s="40">
        <f>AW44+AX44</f>
        <v>0</v>
      </c>
      <c r="BD44" s="40">
        <f>G44/(100-BE44)*100</f>
        <v>0</v>
      </c>
      <c r="BE44" s="40">
        <v>0</v>
      </c>
      <c r="BF44" s="40">
        <f>L44</f>
        <v>0.488</v>
      </c>
      <c r="BH44" s="21">
        <f>F44*AO44</f>
        <v>0</v>
      </c>
      <c r="BI44" s="21">
        <f>F44*AP44</f>
        <v>0</v>
      </c>
      <c r="BJ44" s="21">
        <f>F44*G44</f>
        <v>0</v>
      </c>
      <c r="BK44" s="21" t="s">
        <v>289</v>
      </c>
      <c r="BL44" s="40">
        <v>771</v>
      </c>
    </row>
    <row r="45" spans="1:47" ht="12.75">
      <c r="A45" s="5"/>
      <c r="B45" s="14"/>
      <c r="C45" s="14" t="s">
        <v>98</v>
      </c>
      <c r="D45" s="14" t="s">
        <v>174</v>
      </c>
      <c r="E45" s="19" t="s">
        <v>6</v>
      </c>
      <c r="F45" s="19" t="s">
        <v>6</v>
      </c>
      <c r="G45" s="19" t="s">
        <v>6</v>
      </c>
      <c r="H45" s="46">
        <f>SUM(H46:H46)</f>
        <v>0</v>
      </c>
      <c r="I45" s="46">
        <f>SUM(I46:I46)</f>
        <v>0</v>
      </c>
      <c r="J45" s="46">
        <f>SUM(J46:J46)</f>
        <v>0</v>
      </c>
      <c r="K45" s="30"/>
      <c r="L45" s="46">
        <f>SUM(L46:L46)</f>
        <v>0.109515</v>
      </c>
      <c r="M45" s="35"/>
      <c r="N45" s="38"/>
      <c r="AI45" s="30"/>
      <c r="AS45" s="46">
        <f>SUM(AJ46:AJ46)</f>
        <v>0</v>
      </c>
      <c r="AT45" s="46">
        <f>SUM(AK46:AK46)</f>
        <v>0</v>
      </c>
      <c r="AU45" s="46">
        <f>SUM(AL46:AL46)</f>
        <v>0</v>
      </c>
    </row>
    <row r="46" spans="1:64" ht="12.75">
      <c r="A46" s="4" t="s">
        <v>30</v>
      </c>
      <c r="B46" s="13"/>
      <c r="C46" s="13" t="s">
        <v>99</v>
      </c>
      <c r="D46" s="13" t="s">
        <v>175</v>
      </c>
      <c r="E46" s="13" t="s">
        <v>221</v>
      </c>
      <c r="F46" s="21">
        <v>24.5</v>
      </c>
      <c r="G46" s="21"/>
      <c r="H46" s="21">
        <f>F46*AO46</f>
        <v>0</v>
      </c>
      <c r="I46" s="21">
        <f>F46*AP46</f>
        <v>0</v>
      </c>
      <c r="J46" s="21">
        <f>F46*G46</f>
        <v>0</v>
      </c>
      <c r="K46" s="21">
        <v>0.00447</v>
      </c>
      <c r="L46" s="21">
        <f>F46*K46</f>
        <v>0.109515</v>
      </c>
      <c r="M46" s="34"/>
      <c r="N46" s="38"/>
      <c r="Z46" s="40">
        <f>IF(AQ46="5",BJ46,0)</f>
        <v>0</v>
      </c>
      <c r="AB46" s="40">
        <f>IF(AQ46="1",BH46,0)</f>
        <v>0</v>
      </c>
      <c r="AC46" s="40">
        <f>IF(AQ46="1",BI46,0)</f>
        <v>0</v>
      </c>
      <c r="AD46" s="40">
        <f>IF(AQ46="7",BH46,0)</f>
        <v>0</v>
      </c>
      <c r="AE46" s="40">
        <f>IF(AQ46="7",BI46,0)</f>
        <v>0</v>
      </c>
      <c r="AF46" s="40">
        <f>IF(AQ46="2",BH46,0)</f>
        <v>0</v>
      </c>
      <c r="AG46" s="40">
        <f>IF(AQ46="2",BI46,0)</f>
        <v>0</v>
      </c>
      <c r="AH46" s="40">
        <f>IF(AQ46="0",BJ46,0)</f>
        <v>0</v>
      </c>
      <c r="AI46" s="30"/>
      <c r="AJ46" s="21">
        <f>IF(AN46=0,J46,0)</f>
        <v>0</v>
      </c>
      <c r="AK46" s="21">
        <f>IF(AN46=15,J46,0)</f>
        <v>0</v>
      </c>
      <c r="AL46" s="21">
        <f>IF(AN46=21,J46,0)</f>
        <v>0</v>
      </c>
      <c r="AN46" s="40">
        <v>15</v>
      </c>
      <c r="AO46" s="40">
        <f>G46*0.670712230215827</f>
        <v>0</v>
      </c>
      <c r="AP46" s="40">
        <f>G46*(1-0.670712230215827)</f>
        <v>0</v>
      </c>
      <c r="AQ46" s="41" t="s">
        <v>13</v>
      </c>
      <c r="AV46" s="40">
        <f>AW46+AX46</f>
        <v>0</v>
      </c>
      <c r="AW46" s="40">
        <f>F46*AO46</f>
        <v>0</v>
      </c>
      <c r="AX46" s="40">
        <f>F46*AP46</f>
        <v>0</v>
      </c>
      <c r="AY46" s="43" t="s">
        <v>265</v>
      </c>
      <c r="AZ46" s="43" t="s">
        <v>280</v>
      </c>
      <c r="BA46" s="30" t="s">
        <v>284</v>
      </c>
      <c r="BC46" s="40">
        <f>AW46+AX46</f>
        <v>0</v>
      </c>
      <c r="BD46" s="40">
        <f>G46/(100-BE46)*100</f>
        <v>0</v>
      </c>
      <c r="BE46" s="40">
        <v>0</v>
      </c>
      <c r="BF46" s="40">
        <f>L46</f>
        <v>0.109515</v>
      </c>
      <c r="BH46" s="21">
        <f>F46*AO46</f>
        <v>0</v>
      </c>
      <c r="BI46" s="21">
        <f>F46*AP46</f>
        <v>0</v>
      </c>
      <c r="BJ46" s="21">
        <f>F46*G46</f>
        <v>0</v>
      </c>
      <c r="BK46" s="21" t="s">
        <v>289</v>
      </c>
      <c r="BL46" s="40">
        <v>776</v>
      </c>
    </row>
    <row r="47" spans="1:47" ht="12.75">
      <c r="A47" s="5"/>
      <c r="B47" s="14"/>
      <c r="C47" s="14" t="s">
        <v>100</v>
      </c>
      <c r="D47" s="14" t="s">
        <v>176</v>
      </c>
      <c r="E47" s="19" t="s">
        <v>6</v>
      </c>
      <c r="F47" s="19" t="s">
        <v>6</v>
      </c>
      <c r="G47" s="19" t="s">
        <v>6</v>
      </c>
      <c r="H47" s="46">
        <f>SUM(H48:H50)</f>
        <v>0</v>
      </c>
      <c r="I47" s="46">
        <f>SUM(I48:I50)</f>
        <v>0</v>
      </c>
      <c r="J47" s="46">
        <f>SUM(J48:J50)</f>
        <v>0</v>
      </c>
      <c r="K47" s="30"/>
      <c r="L47" s="46">
        <f>SUM(L48:L50)</f>
        <v>1.711216</v>
      </c>
      <c r="M47" s="35"/>
      <c r="N47" s="38"/>
      <c r="AI47" s="30"/>
      <c r="AS47" s="46">
        <f>SUM(AJ48:AJ50)</f>
        <v>0</v>
      </c>
      <c r="AT47" s="46">
        <f>SUM(AK48:AK50)</f>
        <v>0</v>
      </c>
      <c r="AU47" s="46">
        <f>SUM(AL48:AL50)</f>
        <v>0</v>
      </c>
    </row>
    <row r="48" spans="1:64" ht="12.75">
      <c r="A48" s="4" t="s">
        <v>31</v>
      </c>
      <c r="B48" s="13"/>
      <c r="C48" s="13" t="s">
        <v>101</v>
      </c>
      <c r="D48" s="13" t="s">
        <v>177</v>
      </c>
      <c r="E48" s="13" t="s">
        <v>221</v>
      </c>
      <c r="F48" s="21">
        <v>26.4</v>
      </c>
      <c r="G48" s="21"/>
      <c r="H48" s="21">
        <f>F48*AO48</f>
        <v>0</v>
      </c>
      <c r="I48" s="21">
        <f>F48*AP48</f>
        <v>0</v>
      </c>
      <c r="J48" s="21">
        <f>F48*G48</f>
        <v>0</v>
      </c>
      <c r="K48" s="21">
        <v>0</v>
      </c>
      <c r="L48" s="21">
        <f>F48*K48</f>
        <v>0</v>
      </c>
      <c r="M48" s="34"/>
      <c r="N48" s="38"/>
      <c r="Z48" s="40">
        <f>IF(AQ48="5",BJ48,0)</f>
        <v>0</v>
      </c>
      <c r="AB48" s="40">
        <f>IF(AQ48="1",BH48,0)</f>
        <v>0</v>
      </c>
      <c r="AC48" s="40">
        <f>IF(AQ48="1",BI48,0)</f>
        <v>0</v>
      </c>
      <c r="AD48" s="40">
        <f>IF(AQ48="7",BH48,0)</f>
        <v>0</v>
      </c>
      <c r="AE48" s="40">
        <f>IF(AQ48="7",BI48,0)</f>
        <v>0</v>
      </c>
      <c r="AF48" s="40">
        <f>IF(AQ48="2",BH48,0)</f>
        <v>0</v>
      </c>
      <c r="AG48" s="40">
        <f>IF(AQ48="2",BI48,0)</f>
        <v>0</v>
      </c>
      <c r="AH48" s="40">
        <f>IF(AQ48="0",BJ48,0)</f>
        <v>0</v>
      </c>
      <c r="AI48" s="30"/>
      <c r="AJ48" s="21">
        <f>IF(AN48=0,J48,0)</f>
        <v>0</v>
      </c>
      <c r="AK48" s="21">
        <f>IF(AN48=15,J48,0)</f>
        <v>0</v>
      </c>
      <c r="AL48" s="21">
        <f>IF(AN48=21,J48,0)</f>
        <v>0</v>
      </c>
      <c r="AN48" s="40">
        <v>15</v>
      </c>
      <c r="AO48" s="40">
        <f>G48*0</f>
        <v>0</v>
      </c>
      <c r="AP48" s="40">
        <f>G48*(1-0)</f>
        <v>0</v>
      </c>
      <c r="AQ48" s="41" t="s">
        <v>13</v>
      </c>
      <c r="AV48" s="40">
        <f>AW48+AX48</f>
        <v>0</v>
      </c>
      <c r="AW48" s="40">
        <f>F48*AO48</f>
        <v>0</v>
      </c>
      <c r="AX48" s="40">
        <f>F48*AP48</f>
        <v>0</v>
      </c>
      <c r="AY48" s="43" t="s">
        <v>266</v>
      </c>
      <c r="AZ48" s="43" t="s">
        <v>281</v>
      </c>
      <c r="BA48" s="30" t="s">
        <v>284</v>
      </c>
      <c r="BC48" s="40">
        <f>AW48+AX48</f>
        <v>0</v>
      </c>
      <c r="BD48" s="40">
        <f>G48/(100-BE48)*100</f>
        <v>0</v>
      </c>
      <c r="BE48" s="40">
        <v>0</v>
      </c>
      <c r="BF48" s="40">
        <f>L48</f>
        <v>0</v>
      </c>
      <c r="BH48" s="21">
        <f>F48*AO48</f>
        <v>0</v>
      </c>
      <c r="BI48" s="21">
        <f>F48*AP48</f>
        <v>0</v>
      </c>
      <c r="BJ48" s="21">
        <f>F48*G48</f>
        <v>0</v>
      </c>
      <c r="BK48" s="21" t="s">
        <v>289</v>
      </c>
      <c r="BL48" s="40">
        <v>781</v>
      </c>
    </row>
    <row r="49" spans="1:64" ht="12.75">
      <c r="A49" s="4" t="s">
        <v>32</v>
      </c>
      <c r="B49" s="13"/>
      <c r="C49" s="13" t="s">
        <v>102</v>
      </c>
      <c r="D49" s="13" t="s">
        <v>178</v>
      </c>
      <c r="E49" s="13" t="s">
        <v>221</v>
      </c>
      <c r="F49" s="21">
        <v>26.4</v>
      </c>
      <c r="G49" s="21"/>
      <c r="H49" s="21">
        <f>F49*AO49</f>
        <v>0</v>
      </c>
      <c r="I49" s="21">
        <f>F49*AP49</f>
        <v>0</v>
      </c>
      <c r="J49" s="21">
        <f>F49*G49</f>
        <v>0</v>
      </c>
      <c r="K49" s="21">
        <v>0.05194</v>
      </c>
      <c r="L49" s="21">
        <f>F49*K49</f>
        <v>1.371216</v>
      </c>
      <c r="M49" s="34"/>
      <c r="N49" s="38"/>
      <c r="Z49" s="40">
        <f>IF(AQ49="5",BJ49,0)</f>
        <v>0</v>
      </c>
      <c r="AB49" s="40">
        <f>IF(AQ49="1",BH49,0)</f>
        <v>0</v>
      </c>
      <c r="AC49" s="40">
        <f>IF(AQ49="1",BI49,0)</f>
        <v>0</v>
      </c>
      <c r="AD49" s="40">
        <f>IF(AQ49="7",BH49,0)</f>
        <v>0</v>
      </c>
      <c r="AE49" s="40">
        <f>IF(AQ49="7",BI49,0)</f>
        <v>0</v>
      </c>
      <c r="AF49" s="40">
        <f>IF(AQ49="2",BH49,0)</f>
        <v>0</v>
      </c>
      <c r="AG49" s="40">
        <f>IF(AQ49="2",BI49,0)</f>
        <v>0</v>
      </c>
      <c r="AH49" s="40">
        <f>IF(AQ49="0",BJ49,0)</f>
        <v>0</v>
      </c>
      <c r="AI49" s="30"/>
      <c r="AJ49" s="21">
        <f>IF(AN49=0,J49,0)</f>
        <v>0</v>
      </c>
      <c r="AK49" s="21">
        <f>IF(AN49=15,J49,0)</f>
        <v>0</v>
      </c>
      <c r="AL49" s="21">
        <f>IF(AN49=21,J49,0)</f>
        <v>0</v>
      </c>
      <c r="AN49" s="40">
        <v>15</v>
      </c>
      <c r="AO49" s="40">
        <f>G49*0.0546607142857143</f>
        <v>0</v>
      </c>
      <c r="AP49" s="40">
        <f>G49*(1-0.0546607142857143)</f>
        <v>0</v>
      </c>
      <c r="AQ49" s="41" t="s">
        <v>13</v>
      </c>
      <c r="AV49" s="40">
        <f>AW49+AX49</f>
        <v>0</v>
      </c>
      <c r="AW49" s="40">
        <f>F49*AO49</f>
        <v>0</v>
      </c>
      <c r="AX49" s="40">
        <f>F49*AP49</f>
        <v>0</v>
      </c>
      <c r="AY49" s="43" t="s">
        <v>266</v>
      </c>
      <c r="AZ49" s="43" t="s">
        <v>281</v>
      </c>
      <c r="BA49" s="30" t="s">
        <v>284</v>
      </c>
      <c r="BC49" s="40">
        <f>AW49+AX49</f>
        <v>0</v>
      </c>
      <c r="BD49" s="40">
        <f>G49/(100-BE49)*100</f>
        <v>0</v>
      </c>
      <c r="BE49" s="40">
        <v>0</v>
      </c>
      <c r="BF49" s="40">
        <f>L49</f>
        <v>1.371216</v>
      </c>
      <c r="BH49" s="21">
        <f>F49*AO49</f>
        <v>0</v>
      </c>
      <c r="BI49" s="21">
        <f>F49*AP49</f>
        <v>0</v>
      </c>
      <c r="BJ49" s="21">
        <f>F49*G49</f>
        <v>0</v>
      </c>
      <c r="BK49" s="21" t="s">
        <v>289</v>
      </c>
      <c r="BL49" s="40">
        <v>781</v>
      </c>
    </row>
    <row r="50" spans="1:64" ht="12.75">
      <c r="A50" s="4" t="s">
        <v>33</v>
      </c>
      <c r="B50" s="13"/>
      <c r="C50" s="13" t="s">
        <v>103</v>
      </c>
      <c r="D50" s="13" t="s">
        <v>179</v>
      </c>
      <c r="E50" s="13" t="s">
        <v>221</v>
      </c>
      <c r="F50" s="21">
        <v>5</v>
      </c>
      <c r="G50" s="21"/>
      <c r="H50" s="21">
        <f>F50*AO50</f>
        <v>0</v>
      </c>
      <c r="I50" s="21">
        <f>F50*AP50</f>
        <v>0</v>
      </c>
      <c r="J50" s="21">
        <f>F50*G50</f>
        <v>0</v>
      </c>
      <c r="K50" s="21">
        <v>0.068</v>
      </c>
      <c r="L50" s="21">
        <f>F50*K50</f>
        <v>0.34</v>
      </c>
      <c r="M50" s="34"/>
      <c r="N50" s="38"/>
      <c r="Z50" s="40">
        <f>IF(AQ50="5",BJ50,0)</f>
        <v>0</v>
      </c>
      <c r="AB50" s="40">
        <f>IF(AQ50="1",BH50,0)</f>
        <v>0</v>
      </c>
      <c r="AC50" s="40">
        <f>IF(AQ50="1",BI50,0)</f>
        <v>0</v>
      </c>
      <c r="AD50" s="40">
        <f>IF(AQ50="7",BH50,0)</f>
        <v>0</v>
      </c>
      <c r="AE50" s="40">
        <f>IF(AQ50="7",BI50,0)</f>
        <v>0</v>
      </c>
      <c r="AF50" s="40">
        <f>IF(AQ50="2",BH50,0)</f>
        <v>0</v>
      </c>
      <c r="AG50" s="40">
        <f>IF(AQ50="2",BI50,0)</f>
        <v>0</v>
      </c>
      <c r="AH50" s="40">
        <f>IF(AQ50="0",BJ50,0)</f>
        <v>0</v>
      </c>
      <c r="AI50" s="30"/>
      <c r="AJ50" s="21">
        <f>IF(AN50=0,J50,0)</f>
        <v>0</v>
      </c>
      <c r="AK50" s="21">
        <f>IF(AN50=15,J50,0)</f>
        <v>0</v>
      </c>
      <c r="AL50" s="21">
        <f>IF(AN50=21,J50,0)</f>
        <v>0</v>
      </c>
      <c r="AN50" s="40">
        <v>15</v>
      </c>
      <c r="AO50" s="40">
        <f>G50*0</f>
        <v>0</v>
      </c>
      <c r="AP50" s="40">
        <f>G50*(1-0)</f>
        <v>0</v>
      </c>
      <c r="AQ50" s="41" t="s">
        <v>13</v>
      </c>
      <c r="AV50" s="40">
        <f>AW50+AX50</f>
        <v>0</v>
      </c>
      <c r="AW50" s="40">
        <f>F50*AO50</f>
        <v>0</v>
      </c>
      <c r="AX50" s="40">
        <f>F50*AP50</f>
        <v>0</v>
      </c>
      <c r="AY50" s="43" t="s">
        <v>266</v>
      </c>
      <c r="AZ50" s="43" t="s">
        <v>281</v>
      </c>
      <c r="BA50" s="30" t="s">
        <v>284</v>
      </c>
      <c r="BC50" s="40">
        <f>AW50+AX50</f>
        <v>0</v>
      </c>
      <c r="BD50" s="40">
        <f>G50/(100-BE50)*100</f>
        <v>0</v>
      </c>
      <c r="BE50" s="40">
        <v>0</v>
      </c>
      <c r="BF50" s="40">
        <f>L50</f>
        <v>0.34</v>
      </c>
      <c r="BH50" s="21">
        <f>F50*AO50</f>
        <v>0</v>
      </c>
      <c r="BI50" s="21">
        <f>F50*AP50</f>
        <v>0</v>
      </c>
      <c r="BJ50" s="21">
        <f>F50*G50</f>
        <v>0</v>
      </c>
      <c r="BK50" s="21" t="s">
        <v>289</v>
      </c>
      <c r="BL50" s="40">
        <v>781</v>
      </c>
    </row>
    <row r="51" spans="1:47" ht="12.75">
      <c r="A51" s="5"/>
      <c r="B51" s="14"/>
      <c r="C51" s="14" t="s">
        <v>104</v>
      </c>
      <c r="D51" s="14" t="s">
        <v>180</v>
      </c>
      <c r="E51" s="19" t="s">
        <v>6</v>
      </c>
      <c r="F51" s="19" t="s">
        <v>6</v>
      </c>
      <c r="G51" s="19" t="s">
        <v>6</v>
      </c>
      <c r="H51" s="46">
        <f>SUM(H52:H54)</f>
        <v>0</v>
      </c>
      <c r="I51" s="46">
        <f>SUM(I52:I54)</f>
        <v>0</v>
      </c>
      <c r="J51" s="46">
        <f>SUM(J52:J54)</f>
        <v>0</v>
      </c>
      <c r="K51" s="30"/>
      <c r="L51" s="46">
        <f>SUM(L52:L54)</f>
        <v>0.0765</v>
      </c>
      <c r="M51" s="35"/>
      <c r="N51" s="38"/>
      <c r="AI51" s="30"/>
      <c r="AS51" s="46">
        <f>SUM(AJ52:AJ54)</f>
        <v>0</v>
      </c>
      <c r="AT51" s="46">
        <f>SUM(AK52:AK54)</f>
        <v>0</v>
      </c>
      <c r="AU51" s="46">
        <f>SUM(AL52:AL54)</f>
        <v>0</v>
      </c>
    </row>
    <row r="52" spans="1:64" ht="12.75">
      <c r="A52" s="4" t="s">
        <v>34</v>
      </c>
      <c r="B52" s="13"/>
      <c r="C52" s="13" t="s">
        <v>105</v>
      </c>
      <c r="D52" s="13" t="s">
        <v>181</v>
      </c>
      <c r="E52" s="13" t="s">
        <v>221</v>
      </c>
      <c r="F52" s="21">
        <v>153</v>
      </c>
      <c r="G52" s="21"/>
      <c r="H52" s="21">
        <f>F52*AO52</f>
        <v>0</v>
      </c>
      <c r="I52" s="21">
        <f>F52*AP52</f>
        <v>0</v>
      </c>
      <c r="J52" s="21">
        <f>F52*G52</f>
        <v>0</v>
      </c>
      <c r="K52" s="21">
        <v>0</v>
      </c>
      <c r="L52" s="21">
        <f>F52*K52</f>
        <v>0</v>
      </c>
      <c r="M52" s="34"/>
      <c r="N52" s="38"/>
      <c r="Z52" s="40">
        <f>IF(AQ52="5",BJ52,0)</f>
        <v>0</v>
      </c>
      <c r="AB52" s="40">
        <f>IF(AQ52="1",BH52,0)</f>
        <v>0</v>
      </c>
      <c r="AC52" s="40">
        <f>IF(AQ52="1",BI52,0)</f>
        <v>0</v>
      </c>
      <c r="AD52" s="40">
        <f>IF(AQ52="7",BH52,0)</f>
        <v>0</v>
      </c>
      <c r="AE52" s="40">
        <f>IF(AQ52="7",BI52,0)</f>
        <v>0</v>
      </c>
      <c r="AF52" s="40">
        <f>IF(AQ52="2",BH52,0)</f>
        <v>0</v>
      </c>
      <c r="AG52" s="40">
        <f>IF(AQ52="2",BI52,0)</f>
        <v>0</v>
      </c>
      <c r="AH52" s="40">
        <f>IF(AQ52="0",BJ52,0)</f>
        <v>0</v>
      </c>
      <c r="AI52" s="30"/>
      <c r="AJ52" s="21">
        <f>IF(AN52=0,J52,0)</f>
        <v>0</v>
      </c>
      <c r="AK52" s="21">
        <f>IF(AN52=15,J52,0)</f>
        <v>0</v>
      </c>
      <c r="AL52" s="21">
        <f>IF(AN52=21,J52,0)</f>
        <v>0</v>
      </c>
      <c r="AN52" s="40">
        <v>15</v>
      </c>
      <c r="AO52" s="40">
        <f>G52*0.00231884057971014</f>
        <v>0</v>
      </c>
      <c r="AP52" s="40">
        <f>G52*(1-0.00231884057971014)</f>
        <v>0</v>
      </c>
      <c r="AQ52" s="41" t="s">
        <v>13</v>
      </c>
      <c r="AV52" s="40">
        <f>AW52+AX52</f>
        <v>0</v>
      </c>
      <c r="AW52" s="40">
        <f>F52*AO52</f>
        <v>0</v>
      </c>
      <c r="AX52" s="40">
        <f>F52*AP52</f>
        <v>0</v>
      </c>
      <c r="AY52" s="43" t="s">
        <v>267</v>
      </c>
      <c r="AZ52" s="43" t="s">
        <v>281</v>
      </c>
      <c r="BA52" s="30" t="s">
        <v>284</v>
      </c>
      <c r="BC52" s="40">
        <f>AW52+AX52</f>
        <v>0</v>
      </c>
      <c r="BD52" s="40">
        <f>G52/(100-BE52)*100</f>
        <v>0</v>
      </c>
      <c r="BE52" s="40">
        <v>0</v>
      </c>
      <c r="BF52" s="40">
        <f>L52</f>
        <v>0</v>
      </c>
      <c r="BH52" s="21">
        <f>F52*AO52</f>
        <v>0</v>
      </c>
      <c r="BI52" s="21">
        <f>F52*AP52</f>
        <v>0</v>
      </c>
      <c r="BJ52" s="21">
        <f>F52*G52</f>
        <v>0</v>
      </c>
      <c r="BK52" s="21" t="s">
        <v>289</v>
      </c>
      <c r="BL52" s="40">
        <v>784</v>
      </c>
    </row>
    <row r="53" spans="1:64" ht="12.75">
      <c r="A53" s="4" t="s">
        <v>35</v>
      </c>
      <c r="B53" s="13"/>
      <c r="C53" s="13" t="s">
        <v>106</v>
      </c>
      <c r="D53" s="13" t="s">
        <v>182</v>
      </c>
      <c r="E53" s="13" t="s">
        <v>221</v>
      </c>
      <c r="F53" s="21">
        <v>153</v>
      </c>
      <c r="G53" s="21"/>
      <c r="H53" s="21">
        <f>F53*AO53</f>
        <v>0</v>
      </c>
      <c r="I53" s="21">
        <f>F53*AP53</f>
        <v>0</v>
      </c>
      <c r="J53" s="21">
        <f>F53*G53</f>
        <v>0</v>
      </c>
      <c r="K53" s="21">
        <v>0.0002</v>
      </c>
      <c r="L53" s="21">
        <f>F53*K53</f>
        <v>0.030600000000000002</v>
      </c>
      <c r="M53" s="34"/>
      <c r="N53" s="38"/>
      <c r="Z53" s="40">
        <f>IF(AQ53="5",BJ53,0)</f>
        <v>0</v>
      </c>
      <c r="AB53" s="40">
        <f>IF(AQ53="1",BH53,0)</f>
        <v>0</v>
      </c>
      <c r="AC53" s="40">
        <f>IF(AQ53="1",BI53,0)</f>
        <v>0</v>
      </c>
      <c r="AD53" s="40">
        <f>IF(AQ53="7",BH53,0)</f>
        <v>0</v>
      </c>
      <c r="AE53" s="40">
        <f>IF(AQ53="7",BI53,0)</f>
        <v>0</v>
      </c>
      <c r="AF53" s="40">
        <f>IF(AQ53="2",BH53,0)</f>
        <v>0</v>
      </c>
      <c r="AG53" s="40">
        <f>IF(AQ53="2",BI53,0)</f>
        <v>0</v>
      </c>
      <c r="AH53" s="40">
        <f>IF(AQ53="0",BJ53,0)</f>
        <v>0</v>
      </c>
      <c r="AI53" s="30"/>
      <c r="AJ53" s="21">
        <f>IF(AN53=0,J53,0)</f>
        <v>0</v>
      </c>
      <c r="AK53" s="21">
        <f>IF(AN53=15,J53,0)</f>
        <v>0</v>
      </c>
      <c r="AL53" s="21">
        <f>IF(AN53=21,J53,0)</f>
        <v>0</v>
      </c>
      <c r="AN53" s="40">
        <v>15</v>
      </c>
      <c r="AO53" s="40">
        <f>G53*0.412235294117647</f>
        <v>0</v>
      </c>
      <c r="AP53" s="40">
        <f>G53*(1-0.412235294117647)</f>
        <v>0</v>
      </c>
      <c r="AQ53" s="41" t="s">
        <v>13</v>
      </c>
      <c r="AV53" s="40">
        <f>AW53+AX53</f>
        <v>0</v>
      </c>
      <c r="AW53" s="40">
        <f>F53*AO53</f>
        <v>0</v>
      </c>
      <c r="AX53" s="40">
        <f>F53*AP53</f>
        <v>0</v>
      </c>
      <c r="AY53" s="43" t="s">
        <v>267</v>
      </c>
      <c r="AZ53" s="43" t="s">
        <v>281</v>
      </c>
      <c r="BA53" s="30" t="s">
        <v>284</v>
      </c>
      <c r="BC53" s="40">
        <f>AW53+AX53</f>
        <v>0</v>
      </c>
      <c r="BD53" s="40">
        <f>G53/(100-BE53)*100</f>
        <v>0</v>
      </c>
      <c r="BE53" s="40">
        <v>0</v>
      </c>
      <c r="BF53" s="40">
        <f>L53</f>
        <v>0.030600000000000002</v>
      </c>
      <c r="BH53" s="21">
        <f>F53*AO53</f>
        <v>0</v>
      </c>
      <c r="BI53" s="21">
        <f>F53*AP53</f>
        <v>0</v>
      </c>
      <c r="BJ53" s="21">
        <f>F53*G53</f>
        <v>0</v>
      </c>
      <c r="BK53" s="21" t="s">
        <v>289</v>
      </c>
      <c r="BL53" s="40">
        <v>784</v>
      </c>
    </row>
    <row r="54" spans="1:64" ht="12.75">
      <c r="A54" s="4" t="s">
        <v>36</v>
      </c>
      <c r="B54" s="13"/>
      <c r="C54" s="13" t="s">
        <v>107</v>
      </c>
      <c r="D54" s="13" t="s">
        <v>183</v>
      </c>
      <c r="E54" s="13" t="s">
        <v>221</v>
      </c>
      <c r="F54" s="21">
        <v>153</v>
      </c>
      <c r="G54" s="21"/>
      <c r="H54" s="21">
        <f>F54*AO54</f>
        <v>0</v>
      </c>
      <c r="I54" s="21">
        <f>F54*AP54</f>
        <v>0</v>
      </c>
      <c r="J54" s="21">
        <f>F54*G54</f>
        <v>0</v>
      </c>
      <c r="K54" s="21">
        <v>0.0003</v>
      </c>
      <c r="L54" s="21">
        <f>F54*K54</f>
        <v>0.045899999999999996</v>
      </c>
      <c r="M54" s="34"/>
      <c r="N54" s="38"/>
      <c r="Z54" s="40">
        <f>IF(AQ54="5",BJ54,0)</f>
        <v>0</v>
      </c>
      <c r="AB54" s="40">
        <f>IF(AQ54="1",BH54,0)</f>
        <v>0</v>
      </c>
      <c r="AC54" s="40">
        <f>IF(AQ54="1",BI54,0)</f>
        <v>0</v>
      </c>
      <c r="AD54" s="40">
        <f>IF(AQ54="7",BH54,0)</f>
        <v>0</v>
      </c>
      <c r="AE54" s="40">
        <f>IF(AQ54="7",BI54,0)</f>
        <v>0</v>
      </c>
      <c r="AF54" s="40">
        <f>IF(AQ54="2",BH54,0)</f>
        <v>0</v>
      </c>
      <c r="AG54" s="40">
        <f>IF(AQ54="2",BI54,0)</f>
        <v>0</v>
      </c>
      <c r="AH54" s="40">
        <f>IF(AQ54="0",BJ54,0)</f>
        <v>0</v>
      </c>
      <c r="AI54" s="30"/>
      <c r="AJ54" s="21">
        <f>IF(AN54=0,J54,0)</f>
        <v>0</v>
      </c>
      <c r="AK54" s="21">
        <f>IF(AN54=15,J54,0)</f>
        <v>0</v>
      </c>
      <c r="AL54" s="21">
        <f>IF(AN54=21,J54,0)</f>
        <v>0</v>
      </c>
      <c r="AN54" s="40">
        <v>15</v>
      </c>
      <c r="AO54" s="40">
        <f>G54*0.133026315789474</f>
        <v>0</v>
      </c>
      <c r="AP54" s="40">
        <f>G54*(1-0.133026315789474)</f>
        <v>0</v>
      </c>
      <c r="AQ54" s="41" t="s">
        <v>13</v>
      </c>
      <c r="AV54" s="40">
        <f>AW54+AX54</f>
        <v>0</v>
      </c>
      <c r="AW54" s="40">
        <f>F54*AO54</f>
        <v>0</v>
      </c>
      <c r="AX54" s="40">
        <f>F54*AP54</f>
        <v>0</v>
      </c>
      <c r="AY54" s="43" t="s">
        <v>267</v>
      </c>
      <c r="AZ54" s="43" t="s">
        <v>281</v>
      </c>
      <c r="BA54" s="30" t="s">
        <v>284</v>
      </c>
      <c r="BC54" s="40">
        <f>AW54+AX54</f>
        <v>0</v>
      </c>
      <c r="BD54" s="40">
        <f>G54/(100-BE54)*100</f>
        <v>0</v>
      </c>
      <c r="BE54" s="40">
        <v>0</v>
      </c>
      <c r="BF54" s="40">
        <f>L54</f>
        <v>0.045899999999999996</v>
      </c>
      <c r="BH54" s="21">
        <f>F54*AO54</f>
        <v>0</v>
      </c>
      <c r="BI54" s="21">
        <f>F54*AP54</f>
        <v>0</v>
      </c>
      <c r="BJ54" s="21">
        <f>F54*G54</f>
        <v>0</v>
      </c>
      <c r="BK54" s="21" t="s">
        <v>289</v>
      </c>
      <c r="BL54" s="40">
        <v>784</v>
      </c>
    </row>
    <row r="55" spans="1:47" ht="12.75">
      <c r="A55" s="5"/>
      <c r="B55" s="14"/>
      <c r="C55" s="14" t="s">
        <v>108</v>
      </c>
      <c r="D55" s="14" t="s">
        <v>184</v>
      </c>
      <c r="E55" s="19" t="s">
        <v>6</v>
      </c>
      <c r="F55" s="19" t="s">
        <v>6</v>
      </c>
      <c r="G55" s="19" t="s">
        <v>6</v>
      </c>
      <c r="H55" s="46">
        <f>SUM(H56:H59)</f>
        <v>0</v>
      </c>
      <c r="I55" s="46">
        <f>SUM(I56:I59)</f>
        <v>0</v>
      </c>
      <c r="J55" s="46">
        <f>SUM(J56:J59)</f>
        <v>0</v>
      </c>
      <c r="K55" s="30"/>
      <c r="L55" s="46">
        <f>SUM(L56:L59)</f>
        <v>4.426595000000001</v>
      </c>
      <c r="M55" s="35"/>
      <c r="N55" s="38"/>
      <c r="AI55" s="30"/>
      <c r="AS55" s="46">
        <f>SUM(AJ56:AJ59)</f>
        <v>0</v>
      </c>
      <c r="AT55" s="46">
        <f>SUM(AK56:AK59)</f>
        <v>0</v>
      </c>
      <c r="AU55" s="46">
        <f>SUM(AL56:AL59)</f>
        <v>0</v>
      </c>
    </row>
    <row r="56" spans="1:64" ht="12.75">
      <c r="A56" s="4" t="s">
        <v>37</v>
      </c>
      <c r="B56" s="13"/>
      <c r="C56" s="13" t="s">
        <v>109</v>
      </c>
      <c r="D56" s="13" t="s">
        <v>185</v>
      </c>
      <c r="E56" s="13" t="s">
        <v>221</v>
      </c>
      <c r="F56" s="21">
        <v>3.2</v>
      </c>
      <c r="G56" s="21"/>
      <c r="H56" s="21">
        <f>F56*AO56</f>
        <v>0</v>
      </c>
      <c r="I56" s="21">
        <f>F56*AP56</f>
        <v>0</v>
      </c>
      <c r="J56" s="21">
        <f>F56*G56</f>
        <v>0</v>
      </c>
      <c r="K56" s="21">
        <v>0.084</v>
      </c>
      <c r="L56" s="21">
        <f>F56*K56</f>
        <v>0.26880000000000004</v>
      </c>
      <c r="M56" s="34"/>
      <c r="N56" s="38"/>
      <c r="Z56" s="40">
        <f>IF(AQ56="5",BJ56,0)</f>
        <v>0</v>
      </c>
      <c r="AB56" s="40">
        <f>IF(AQ56="1",BH56,0)</f>
        <v>0</v>
      </c>
      <c r="AC56" s="40">
        <f>IF(AQ56="1",BI56,0)</f>
        <v>0</v>
      </c>
      <c r="AD56" s="40">
        <f>IF(AQ56="7",BH56,0)</f>
        <v>0</v>
      </c>
      <c r="AE56" s="40">
        <f>IF(AQ56="7",BI56,0)</f>
        <v>0</v>
      </c>
      <c r="AF56" s="40">
        <f>IF(AQ56="2",BH56,0)</f>
        <v>0</v>
      </c>
      <c r="AG56" s="40">
        <f>IF(AQ56="2",BI56,0)</f>
        <v>0</v>
      </c>
      <c r="AH56" s="40">
        <f>IF(AQ56="0",BJ56,0)</f>
        <v>0</v>
      </c>
      <c r="AI56" s="30"/>
      <c r="AJ56" s="21">
        <f>IF(AN56=0,J56,0)</f>
        <v>0</v>
      </c>
      <c r="AK56" s="21">
        <f>IF(AN56=15,J56,0)</f>
        <v>0</v>
      </c>
      <c r="AL56" s="21">
        <f>IF(AN56=21,J56,0)</f>
        <v>0</v>
      </c>
      <c r="AN56" s="40">
        <v>15</v>
      </c>
      <c r="AO56" s="40">
        <f>G56*0</f>
        <v>0</v>
      </c>
      <c r="AP56" s="40">
        <f>G56*(1-0)</f>
        <v>0</v>
      </c>
      <c r="AQ56" s="41" t="s">
        <v>7</v>
      </c>
      <c r="AV56" s="40">
        <f>AW56+AX56</f>
        <v>0</v>
      </c>
      <c r="AW56" s="40">
        <f>F56*AO56</f>
        <v>0</v>
      </c>
      <c r="AX56" s="40">
        <f>F56*AP56</f>
        <v>0</v>
      </c>
      <c r="AY56" s="43" t="s">
        <v>268</v>
      </c>
      <c r="AZ56" s="43" t="s">
        <v>282</v>
      </c>
      <c r="BA56" s="30" t="s">
        <v>284</v>
      </c>
      <c r="BC56" s="40">
        <f>AW56+AX56</f>
        <v>0</v>
      </c>
      <c r="BD56" s="40">
        <f>G56/(100-BE56)*100</f>
        <v>0</v>
      </c>
      <c r="BE56" s="40">
        <v>0</v>
      </c>
      <c r="BF56" s="40">
        <f>L56</f>
        <v>0.26880000000000004</v>
      </c>
      <c r="BH56" s="21">
        <f>F56*AO56</f>
        <v>0</v>
      </c>
      <c r="BI56" s="21">
        <f>F56*AP56</f>
        <v>0</v>
      </c>
      <c r="BJ56" s="21">
        <f>F56*G56</f>
        <v>0</v>
      </c>
      <c r="BK56" s="21" t="s">
        <v>289</v>
      </c>
      <c r="BL56" s="40">
        <v>96</v>
      </c>
    </row>
    <row r="57" spans="1:64" ht="12.75">
      <c r="A57" s="4" t="s">
        <v>38</v>
      </c>
      <c r="B57" s="13"/>
      <c r="C57" s="13" t="s">
        <v>110</v>
      </c>
      <c r="D57" s="13" t="s">
        <v>186</v>
      </c>
      <c r="E57" s="13" t="s">
        <v>221</v>
      </c>
      <c r="F57" s="21">
        <v>3.2</v>
      </c>
      <c r="G57" s="21"/>
      <c r="H57" s="21">
        <f>F57*AO57</f>
        <v>0</v>
      </c>
      <c r="I57" s="21">
        <f>F57*AP57</f>
        <v>0</v>
      </c>
      <c r="J57" s="21">
        <f>F57*G57</f>
        <v>0</v>
      </c>
      <c r="K57" s="21">
        <v>0.038</v>
      </c>
      <c r="L57" s="21">
        <f>F57*K57</f>
        <v>0.1216</v>
      </c>
      <c r="M57" s="34"/>
      <c r="N57" s="38"/>
      <c r="Z57" s="40">
        <f>IF(AQ57="5",BJ57,0)</f>
        <v>0</v>
      </c>
      <c r="AB57" s="40">
        <f>IF(AQ57="1",BH57,0)</f>
        <v>0</v>
      </c>
      <c r="AC57" s="40">
        <f>IF(AQ57="1",BI57,0)</f>
        <v>0</v>
      </c>
      <c r="AD57" s="40">
        <f>IF(AQ57="7",BH57,0)</f>
        <v>0</v>
      </c>
      <c r="AE57" s="40">
        <f>IF(AQ57="7",BI57,0)</f>
        <v>0</v>
      </c>
      <c r="AF57" s="40">
        <f>IF(AQ57="2",BH57,0)</f>
        <v>0</v>
      </c>
      <c r="AG57" s="40">
        <f>IF(AQ57="2",BI57,0)</f>
        <v>0</v>
      </c>
      <c r="AH57" s="40">
        <f>IF(AQ57="0",BJ57,0)</f>
        <v>0</v>
      </c>
      <c r="AI57" s="30"/>
      <c r="AJ57" s="21">
        <f>IF(AN57=0,J57,0)</f>
        <v>0</v>
      </c>
      <c r="AK57" s="21">
        <f>IF(AN57=15,J57,0)</f>
        <v>0</v>
      </c>
      <c r="AL57" s="21">
        <f>IF(AN57=21,J57,0)</f>
        <v>0</v>
      </c>
      <c r="AN57" s="40">
        <v>15</v>
      </c>
      <c r="AO57" s="40">
        <f>G57*0</f>
        <v>0</v>
      </c>
      <c r="AP57" s="40">
        <f>G57*(1-0)</f>
        <v>0</v>
      </c>
      <c r="AQ57" s="41" t="s">
        <v>7</v>
      </c>
      <c r="AV57" s="40">
        <f>AW57+AX57</f>
        <v>0</v>
      </c>
      <c r="AW57" s="40">
        <f>F57*AO57</f>
        <v>0</v>
      </c>
      <c r="AX57" s="40">
        <f>F57*AP57</f>
        <v>0</v>
      </c>
      <c r="AY57" s="43" t="s">
        <v>268</v>
      </c>
      <c r="AZ57" s="43" t="s">
        <v>282</v>
      </c>
      <c r="BA57" s="30" t="s">
        <v>284</v>
      </c>
      <c r="BC57" s="40">
        <f>AW57+AX57</f>
        <v>0</v>
      </c>
      <c r="BD57" s="40">
        <f>G57/(100-BE57)*100</f>
        <v>0</v>
      </c>
      <c r="BE57" s="40">
        <v>0</v>
      </c>
      <c r="BF57" s="40">
        <f>L57</f>
        <v>0.1216</v>
      </c>
      <c r="BH57" s="21">
        <f>F57*AO57</f>
        <v>0</v>
      </c>
      <c r="BI57" s="21">
        <f>F57*AP57</f>
        <v>0</v>
      </c>
      <c r="BJ57" s="21">
        <f>F57*G57</f>
        <v>0</v>
      </c>
      <c r="BK57" s="21" t="s">
        <v>289</v>
      </c>
      <c r="BL57" s="40">
        <v>96</v>
      </c>
    </row>
    <row r="58" spans="1:64" ht="12.75">
      <c r="A58" s="4" t="s">
        <v>39</v>
      </c>
      <c r="B58" s="13"/>
      <c r="C58" s="13" t="s">
        <v>111</v>
      </c>
      <c r="D58" s="13" t="s">
        <v>187</v>
      </c>
      <c r="E58" s="13" t="s">
        <v>221</v>
      </c>
      <c r="F58" s="21">
        <v>3.2</v>
      </c>
      <c r="G58" s="21"/>
      <c r="H58" s="21">
        <f>F58*AO58</f>
        <v>0</v>
      </c>
      <c r="I58" s="21">
        <f>F58*AP58</f>
        <v>0</v>
      </c>
      <c r="J58" s="21">
        <f>F58*G58</f>
        <v>0</v>
      </c>
      <c r="K58" s="21">
        <v>0.0126</v>
      </c>
      <c r="L58" s="21">
        <f>F58*K58</f>
        <v>0.04032</v>
      </c>
      <c r="M58" s="34"/>
      <c r="N58" s="38"/>
      <c r="Z58" s="40">
        <f>IF(AQ58="5",BJ58,0)</f>
        <v>0</v>
      </c>
      <c r="AB58" s="40">
        <f>IF(AQ58="1",BH58,0)</f>
        <v>0</v>
      </c>
      <c r="AC58" s="40">
        <f>IF(AQ58="1",BI58,0)</f>
        <v>0</v>
      </c>
      <c r="AD58" s="40">
        <f>IF(AQ58="7",BH58,0)</f>
        <v>0</v>
      </c>
      <c r="AE58" s="40">
        <f>IF(AQ58="7",BI58,0)</f>
        <v>0</v>
      </c>
      <c r="AF58" s="40">
        <f>IF(AQ58="2",BH58,0)</f>
        <v>0</v>
      </c>
      <c r="AG58" s="40">
        <f>IF(AQ58="2",BI58,0)</f>
        <v>0</v>
      </c>
      <c r="AH58" s="40">
        <f>IF(AQ58="0",BJ58,0)</f>
        <v>0</v>
      </c>
      <c r="AI58" s="30"/>
      <c r="AJ58" s="21">
        <f>IF(AN58=0,J58,0)</f>
        <v>0</v>
      </c>
      <c r="AK58" s="21">
        <f>IF(AN58=15,J58,0)</f>
        <v>0</v>
      </c>
      <c r="AL58" s="21">
        <f>IF(AN58=21,J58,0)</f>
        <v>0</v>
      </c>
      <c r="AN58" s="40">
        <v>15</v>
      </c>
      <c r="AO58" s="40">
        <f>G58*0</f>
        <v>0</v>
      </c>
      <c r="AP58" s="40">
        <f>G58*(1-0)</f>
        <v>0</v>
      </c>
      <c r="AQ58" s="41" t="s">
        <v>7</v>
      </c>
      <c r="AV58" s="40">
        <f>AW58+AX58</f>
        <v>0</v>
      </c>
      <c r="AW58" s="40">
        <f>F58*AO58</f>
        <v>0</v>
      </c>
      <c r="AX58" s="40">
        <f>F58*AP58</f>
        <v>0</v>
      </c>
      <c r="AY58" s="43" t="s">
        <v>268</v>
      </c>
      <c r="AZ58" s="43" t="s">
        <v>282</v>
      </c>
      <c r="BA58" s="30" t="s">
        <v>284</v>
      </c>
      <c r="BC58" s="40">
        <f>AW58+AX58</f>
        <v>0</v>
      </c>
      <c r="BD58" s="40">
        <f>G58/(100-BE58)*100</f>
        <v>0</v>
      </c>
      <c r="BE58" s="40">
        <v>0</v>
      </c>
      <c r="BF58" s="40">
        <f>L58</f>
        <v>0.04032</v>
      </c>
      <c r="BH58" s="21">
        <f>F58*AO58</f>
        <v>0</v>
      </c>
      <c r="BI58" s="21">
        <f>F58*AP58</f>
        <v>0</v>
      </c>
      <c r="BJ58" s="21">
        <f>F58*G58</f>
        <v>0</v>
      </c>
      <c r="BK58" s="21" t="s">
        <v>289</v>
      </c>
      <c r="BL58" s="40">
        <v>96</v>
      </c>
    </row>
    <row r="59" spans="1:64" ht="12.75">
      <c r="A59" s="4" t="s">
        <v>40</v>
      </c>
      <c r="B59" s="13"/>
      <c r="C59" s="13" t="s">
        <v>112</v>
      </c>
      <c r="D59" s="13" t="s">
        <v>188</v>
      </c>
      <c r="E59" s="13" t="s">
        <v>221</v>
      </c>
      <c r="F59" s="21">
        <v>12.5</v>
      </c>
      <c r="G59" s="21"/>
      <c r="H59" s="21">
        <f>F59*AO59</f>
        <v>0</v>
      </c>
      <c r="I59" s="21">
        <f>F59*AP59</f>
        <v>0</v>
      </c>
      <c r="J59" s="21">
        <f>F59*G59</f>
        <v>0</v>
      </c>
      <c r="K59" s="21">
        <v>0.31967</v>
      </c>
      <c r="L59" s="21">
        <f>F59*K59</f>
        <v>3.9958750000000003</v>
      </c>
      <c r="M59" s="34"/>
      <c r="N59" s="38"/>
      <c r="Z59" s="40">
        <f>IF(AQ59="5",BJ59,0)</f>
        <v>0</v>
      </c>
      <c r="AB59" s="40">
        <f>IF(AQ59="1",BH59,0)</f>
        <v>0</v>
      </c>
      <c r="AC59" s="40">
        <f>IF(AQ59="1",BI59,0)</f>
        <v>0</v>
      </c>
      <c r="AD59" s="40">
        <f>IF(AQ59="7",BH59,0)</f>
        <v>0</v>
      </c>
      <c r="AE59" s="40">
        <f>IF(AQ59="7",BI59,0)</f>
        <v>0</v>
      </c>
      <c r="AF59" s="40">
        <f>IF(AQ59="2",BH59,0)</f>
        <v>0</v>
      </c>
      <c r="AG59" s="40">
        <f>IF(AQ59="2",BI59,0)</f>
        <v>0</v>
      </c>
      <c r="AH59" s="40">
        <f>IF(AQ59="0",BJ59,0)</f>
        <v>0</v>
      </c>
      <c r="AI59" s="30"/>
      <c r="AJ59" s="21">
        <f>IF(AN59=0,J59,0)</f>
        <v>0</v>
      </c>
      <c r="AK59" s="21">
        <f>IF(AN59=15,J59,0)</f>
        <v>0</v>
      </c>
      <c r="AL59" s="21">
        <f>IF(AN59=21,J59,0)</f>
        <v>0</v>
      </c>
      <c r="AN59" s="40">
        <v>15</v>
      </c>
      <c r="AO59" s="40">
        <f>G59*0.0950454545454545</f>
        <v>0</v>
      </c>
      <c r="AP59" s="40">
        <f>G59*(1-0.0950454545454545)</f>
        <v>0</v>
      </c>
      <c r="AQ59" s="41" t="s">
        <v>7</v>
      </c>
      <c r="AV59" s="40">
        <f>AW59+AX59</f>
        <v>0</v>
      </c>
      <c r="AW59" s="40">
        <f>F59*AO59</f>
        <v>0</v>
      </c>
      <c r="AX59" s="40">
        <f>F59*AP59</f>
        <v>0</v>
      </c>
      <c r="AY59" s="43" t="s">
        <v>268</v>
      </c>
      <c r="AZ59" s="43" t="s">
        <v>282</v>
      </c>
      <c r="BA59" s="30" t="s">
        <v>284</v>
      </c>
      <c r="BC59" s="40">
        <f>AW59+AX59</f>
        <v>0</v>
      </c>
      <c r="BD59" s="40">
        <f>G59/(100-BE59)*100</f>
        <v>0</v>
      </c>
      <c r="BE59" s="40">
        <v>0</v>
      </c>
      <c r="BF59" s="40">
        <f>L59</f>
        <v>3.9958750000000003</v>
      </c>
      <c r="BH59" s="21">
        <f>F59*AO59</f>
        <v>0</v>
      </c>
      <c r="BI59" s="21">
        <f>F59*AP59</f>
        <v>0</v>
      </c>
      <c r="BJ59" s="21">
        <f>F59*G59</f>
        <v>0</v>
      </c>
      <c r="BK59" s="21" t="s">
        <v>289</v>
      </c>
      <c r="BL59" s="40">
        <v>96</v>
      </c>
    </row>
    <row r="60" spans="1:47" ht="12.75">
      <c r="A60" s="5"/>
      <c r="B60" s="14"/>
      <c r="C60" s="14" t="s">
        <v>113</v>
      </c>
      <c r="D60" s="14" t="s">
        <v>189</v>
      </c>
      <c r="E60" s="19" t="s">
        <v>6</v>
      </c>
      <c r="F60" s="19" t="s">
        <v>6</v>
      </c>
      <c r="G60" s="19" t="s">
        <v>6</v>
      </c>
      <c r="H60" s="46">
        <f>SUM(H61:H62)</f>
        <v>0</v>
      </c>
      <c r="I60" s="46">
        <f>SUM(I61:I62)</f>
        <v>0</v>
      </c>
      <c r="J60" s="46">
        <f>SUM(J61:J62)</f>
        <v>0</v>
      </c>
      <c r="K60" s="30"/>
      <c r="L60" s="46">
        <f>SUM(L61:L62)</f>
        <v>7.494532800000001</v>
      </c>
      <c r="M60" s="35"/>
      <c r="N60" s="38"/>
      <c r="AI60" s="30"/>
      <c r="AS60" s="46">
        <f>SUM(AJ61:AJ62)</f>
        <v>0</v>
      </c>
      <c r="AT60" s="46">
        <f>SUM(AK61:AK62)</f>
        <v>0</v>
      </c>
      <c r="AU60" s="46">
        <f>SUM(AL61:AL62)</f>
        <v>0</v>
      </c>
    </row>
    <row r="61" spans="1:64" ht="12.75">
      <c r="A61" s="4" t="s">
        <v>41</v>
      </c>
      <c r="B61" s="13"/>
      <c r="C61" s="13" t="s">
        <v>114</v>
      </c>
      <c r="D61" s="13" t="s">
        <v>190</v>
      </c>
      <c r="E61" s="13" t="s">
        <v>225</v>
      </c>
      <c r="F61" s="21">
        <v>1</v>
      </c>
      <c r="G61" s="21"/>
      <c r="H61" s="21">
        <f>F61*AO61</f>
        <v>0</v>
      </c>
      <c r="I61" s="21">
        <f>F61*AP61</f>
        <v>0</v>
      </c>
      <c r="J61" s="21">
        <f>F61*G61</f>
        <v>0</v>
      </c>
      <c r="K61" s="21">
        <v>0.001</v>
      </c>
      <c r="L61" s="21">
        <f>F61*K61</f>
        <v>0.001</v>
      </c>
      <c r="M61" s="34"/>
      <c r="N61" s="38"/>
      <c r="Z61" s="40">
        <f>IF(AQ61="5",BJ61,0)</f>
        <v>0</v>
      </c>
      <c r="AB61" s="40">
        <f>IF(AQ61="1",BH61,0)</f>
        <v>0</v>
      </c>
      <c r="AC61" s="40">
        <f>IF(AQ61="1",BI61,0)</f>
        <v>0</v>
      </c>
      <c r="AD61" s="40">
        <f>IF(AQ61="7",BH61,0)</f>
        <v>0</v>
      </c>
      <c r="AE61" s="40">
        <f>IF(AQ61="7",BI61,0)</f>
        <v>0</v>
      </c>
      <c r="AF61" s="40">
        <f>IF(AQ61="2",BH61,0)</f>
        <v>0</v>
      </c>
      <c r="AG61" s="40">
        <f>IF(AQ61="2",BI61,0)</f>
        <v>0</v>
      </c>
      <c r="AH61" s="40">
        <f>IF(AQ61="0",BJ61,0)</f>
        <v>0</v>
      </c>
      <c r="AI61" s="30"/>
      <c r="AJ61" s="21">
        <f>IF(AN61=0,J61,0)</f>
        <v>0</v>
      </c>
      <c r="AK61" s="21">
        <f>IF(AN61=15,J61,0)</f>
        <v>0</v>
      </c>
      <c r="AL61" s="21">
        <f>IF(AN61=21,J61,0)</f>
        <v>0</v>
      </c>
      <c r="AN61" s="40">
        <v>15</v>
      </c>
      <c r="AO61" s="40">
        <f>G61*0</f>
        <v>0</v>
      </c>
      <c r="AP61" s="40">
        <f>G61*(1-0)</f>
        <v>0</v>
      </c>
      <c r="AQ61" s="41" t="s">
        <v>7</v>
      </c>
      <c r="AV61" s="40">
        <f>AW61+AX61</f>
        <v>0</v>
      </c>
      <c r="AW61" s="40">
        <f>F61*AO61</f>
        <v>0</v>
      </c>
      <c r="AX61" s="40">
        <f>F61*AP61</f>
        <v>0</v>
      </c>
      <c r="AY61" s="43" t="s">
        <v>269</v>
      </c>
      <c r="AZ61" s="43" t="s">
        <v>282</v>
      </c>
      <c r="BA61" s="30" t="s">
        <v>284</v>
      </c>
      <c r="BC61" s="40">
        <f>AW61+AX61</f>
        <v>0</v>
      </c>
      <c r="BD61" s="40">
        <f>G61/(100-BE61)*100</f>
        <v>0</v>
      </c>
      <c r="BE61" s="40">
        <v>0</v>
      </c>
      <c r="BF61" s="40">
        <f>L61</f>
        <v>0.001</v>
      </c>
      <c r="BH61" s="21">
        <f>F61*AO61</f>
        <v>0</v>
      </c>
      <c r="BI61" s="21">
        <f>F61*AP61</f>
        <v>0</v>
      </c>
      <c r="BJ61" s="21">
        <f>F61*G61</f>
        <v>0</v>
      </c>
      <c r="BK61" s="21" t="s">
        <v>289</v>
      </c>
      <c r="BL61" s="40">
        <v>97</v>
      </c>
    </row>
    <row r="62" spans="1:64" ht="12.75">
      <c r="A62" s="4" t="s">
        <v>42</v>
      </c>
      <c r="B62" s="13"/>
      <c r="C62" s="13" t="s">
        <v>115</v>
      </c>
      <c r="D62" s="13" t="s">
        <v>191</v>
      </c>
      <c r="E62" s="13" t="s">
        <v>221</v>
      </c>
      <c r="F62" s="21">
        <v>4.16</v>
      </c>
      <c r="G62" s="21"/>
      <c r="H62" s="21">
        <f>F62*AO62</f>
        <v>0</v>
      </c>
      <c r="I62" s="21">
        <f>F62*AP62</f>
        <v>0</v>
      </c>
      <c r="J62" s="21">
        <f>F62*G62</f>
        <v>0</v>
      </c>
      <c r="K62" s="21">
        <v>1.80133</v>
      </c>
      <c r="L62" s="21">
        <f>F62*K62</f>
        <v>7.4935328000000005</v>
      </c>
      <c r="M62" s="34"/>
      <c r="N62" s="38"/>
      <c r="Z62" s="40">
        <f>IF(AQ62="5",BJ62,0)</f>
        <v>0</v>
      </c>
      <c r="AB62" s="40">
        <f>IF(AQ62="1",BH62,0)</f>
        <v>0</v>
      </c>
      <c r="AC62" s="40">
        <f>IF(AQ62="1",BI62,0)</f>
        <v>0</v>
      </c>
      <c r="AD62" s="40">
        <f>IF(AQ62="7",BH62,0)</f>
        <v>0</v>
      </c>
      <c r="AE62" s="40">
        <f>IF(AQ62="7",BI62,0)</f>
        <v>0</v>
      </c>
      <c r="AF62" s="40">
        <f>IF(AQ62="2",BH62,0)</f>
        <v>0</v>
      </c>
      <c r="AG62" s="40">
        <f>IF(AQ62="2",BI62,0)</f>
        <v>0</v>
      </c>
      <c r="AH62" s="40">
        <f>IF(AQ62="0",BJ62,0)</f>
        <v>0</v>
      </c>
      <c r="AI62" s="30"/>
      <c r="AJ62" s="21">
        <f>IF(AN62=0,J62,0)</f>
        <v>0</v>
      </c>
      <c r="AK62" s="21">
        <f>IF(AN62=15,J62,0)</f>
        <v>0</v>
      </c>
      <c r="AL62" s="21">
        <f>IF(AN62=21,J62,0)</f>
        <v>0</v>
      </c>
      <c r="AN62" s="40">
        <v>15</v>
      </c>
      <c r="AO62" s="40">
        <f>G62*0.0149277777777778</f>
        <v>0</v>
      </c>
      <c r="AP62" s="40">
        <f>G62*(1-0.0149277777777778)</f>
        <v>0</v>
      </c>
      <c r="AQ62" s="41" t="s">
        <v>7</v>
      </c>
      <c r="AV62" s="40">
        <f>AW62+AX62</f>
        <v>0</v>
      </c>
      <c r="AW62" s="40">
        <f>F62*AO62</f>
        <v>0</v>
      </c>
      <c r="AX62" s="40">
        <f>F62*AP62</f>
        <v>0</v>
      </c>
      <c r="AY62" s="43" t="s">
        <v>269</v>
      </c>
      <c r="AZ62" s="43" t="s">
        <v>282</v>
      </c>
      <c r="BA62" s="30" t="s">
        <v>284</v>
      </c>
      <c r="BC62" s="40">
        <f>AW62+AX62</f>
        <v>0</v>
      </c>
      <c r="BD62" s="40">
        <f>G62/(100-BE62)*100</f>
        <v>0</v>
      </c>
      <c r="BE62" s="40">
        <v>0</v>
      </c>
      <c r="BF62" s="40">
        <f>L62</f>
        <v>7.4935328000000005</v>
      </c>
      <c r="BH62" s="21">
        <f>F62*AO62</f>
        <v>0</v>
      </c>
      <c r="BI62" s="21">
        <f>F62*AP62</f>
        <v>0</v>
      </c>
      <c r="BJ62" s="21">
        <f>F62*G62</f>
        <v>0</v>
      </c>
      <c r="BK62" s="21" t="s">
        <v>289</v>
      </c>
      <c r="BL62" s="40">
        <v>97</v>
      </c>
    </row>
    <row r="63" spans="1:47" ht="12.75">
      <c r="A63" s="5"/>
      <c r="B63" s="14"/>
      <c r="C63" s="14" t="s">
        <v>116</v>
      </c>
      <c r="D63" s="14" t="s">
        <v>192</v>
      </c>
      <c r="E63" s="19" t="s">
        <v>6</v>
      </c>
      <c r="F63" s="19" t="s">
        <v>6</v>
      </c>
      <c r="G63" s="19" t="s">
        <v>6</v>
      </c>
      <c r="H63" s="46">
        <f>SUM(H64:H64)</f>
        <v>0</v>
      </c>
      <c r="I63" s="46">
        <f>SUM(I64:I64)</f>
        <v>0</v>
      </c>
      <c r="J63" s="46">
        <f>SUM(J64:J64)</f>
        <v>0</v>
      </c>
      <c r="K63" s="30"/>
      <c r="L63" s="46">
        <f>SUM(L64:L64)</f>
        <v>0.00334</v>
      </c>
      <c r="M63" s="35"/>
      <c r="N63" s="38"/>
      <c r="AI63" s="30"/>
      <c r="AS63" s="46">
        <f>SUM(AJ64:AJ64)</f>
        <v>0</v>
      </c>
      <c r="AT63" s="46">
        <f>SUM(AK64:AK64)</f>
        <v>0</v>
      </c>
      <c r="AU63" s="46">
        <f>SUM(AL64:AL64)</f>
        <v>0</v>
      </c>
    </row>
    <row r="64" spans="1:64" ht="12.75">
      <c r="A64" s="4" t="s">
        <v>43</v>
      </c>
      <c r="B64" s="13"/>
      <c r="C64" s="13" t="s">
        <v>117</v>
      </c>
      <c r="D64" s="13" t="s">
        <v>193</v>
      </c>
      <c r="E64" s="13" t="s">
        <v>225</v>
      </c>
      <c r="F64" s="21">
        <v>1</v>
      </c>
      <c r="G64" s="21"/>
      <c r="H64" s="21">
        <f>F64*AO64</f>
        <v>0</v>
      </c>
      <c r="I64" s="21">
        <f>F64*AP64</f>
        <v>0</v>
      </c>
      <c r="J64" s="21">
        <f>F64*G64</f>
        <v>0</v>
      </c>
      <c r="K64" s="21">
        <v>0.00334</v>
      </c>
      <c r="L64" s="21">
        <f>F64*K64</f>
        <v>0.00334</v>
      </c>
      <c r="M64" s="34"/>
      <c r="N64" s="38"/>
      <c r="Z64" s="40">
        <f>IF(AQ64="5",BJ64,0)</f>
        <v>0</v>
      </c>
      <c r="AB64" s="40">
        <f>IF(AQ64="1",BH64,0)</f>
        <v>0</v>
      </c>
      <c r="AC64" s="40">
        <f>IF(AQ64="1",BI64,0)</f>
        <v>0</v>
      </c>
      <c r="AD64" s="40">
        <f>IF(AQ64="7",BH64,0)</f>
        <v>0</v>
      </c>
      <c r="AE64" s="40">
        <f>IF(AQ64="7",BI64,0)</f>
        <v>0</v>
      </c>
      <c r="AF64" s="40">
        <f>IF(AQ64="2",BH64,0)</f>
        <v>0</v>
      </c>
      <c r="AG64" s="40">
        <f>IF(AQ64="2",BI64,0)</f>
        <v>0</v>
      </c>
      <c r="AH64" s="40">
        <f>IF(AQ64="0",BJ64,0)</f>
        <v>0</v>
      </c>
      <c r="AI64" s="30"/>
      <c r="AJ64" s="21">
        <f>IF(AN64=0,J64,0)</f>
        <v>0</v>
      </c>
      <c r="AK64" s="21">
        <f>IF(AN64=15,J64,0)</f>
        <v>0</v>
      </c>
      <c r="AL64" s="21">
        <f>IF(AN64=21,J64,0)</f>
        <v>0</v>
      </c>
      <c r="AN64" s="40">
        <v>15</v>
      </c>
      <c r="AO64" s="40">
        <f>G64*0.00870838709677419</f>
        <v>0</v>
      </c>
      <c r="AP64" s="40">
        <f>G64*(1-0.00870838709677419)</f>
        <v>0</v>
      </c>
      <c r="AQ64" s="41" t="s">
        <v>7</v>
      </c>
      <c r="AV64" s="40">
        <f>AW64+AX64</f>
        <v>0</v>
      </c>
      <c r="AW64" s="40">
        <f>F64*AO64</f>
        <v>0</v>
      </c>
      <c r="AX64" s="40">
        <f>F64*AP64</f>
        <v>0</v>
      </c>
      <c r="AY64" s="43" t="s">
        <v>270</v>
      </c>
      <c r="AZ64" s="43" t="s">
        <v>282</v>
      </c>
      <c r="BA64" s="30" t="s">
        <v>284</v>
      </c>
      <c r="BC64" s="40">
        <f>AW64+AX64</f>
        <v>0</v>
      </c>
      <c r="BD64" s="40">
        <f>G64/(100-BE64)*100</f>
        <v>0</v>
      </c>
      <c r="BE64" s="40">
        <v>0</v>
      </c>
      <c r="BF64" s="40">
        <f>L64</f>
        <v>0.00334</v>
      </c>
      <c r="BH64" s="21">
        <f>F64*AO64</f>
        <v>0</v>
      </c>
      <c r="BI64" s="21">
        <f>F64*AP64</f>
        <v>0</v>
      </c>
      <c r="BJ64" s="21">
        <f>F64*G64</f>
        <v>0</v>
      </c>
      <c r="BK64" s="21" t="s">
        <v>289</v>
      </c>
      <c r="BL64" s="40">
        <v>99</v>
      </c>
    </row>
    <row r="65" spans="1:47" ht="12.75">
      <c r="A65" s="5"/>
      <c r="B65" s="14"/>
      <c r="C65" s="14" t="s">
        <v>118</v>
      </c>
      <c r="D65" s="14" t="s">
        <v>194</v>
      </c>
      <c r="E65" s="19" t="s">
        <v>6</v>
      </c>
      <c r="F65" s="19" t="s">
        <v>6</v>
      </c>
      <c r="G65" s="19" t="s">
        <v>6</v>
      </c>
      <c r="H65" s="46">
        <f>SUM(H66:H66)</f>
        <v>0</v>
      </c>
      <c r="I65" s="46">
        <f>SUM(I66:I66)</f>
        <v>0</v>
      </c>
      <c r="J65" s="46">
        <f>SUM(J66:J66)</f>
        <v>0</v>
      </c>
      <c r="K65" s="30"/>
      <c r="L65" s="46">
        <f>SUM(L66:L66)</f>
        <v>0</v>
      </c>
      <c r="M65" s="35"/>
      <c r="N65" s="38"/>
      <c r="AI65" s="30"/>
      <c r="AS65" s="46">
        <f>SUM(AJ66:AJ66)</f>
        <v>0</v>
      </c>
      <c r="AT65" s="46">
        <f>SUM(AK66:AK66)</f>
        <v>0</v>
      </c>
      <c r="AU65" s="46">
        <f>SUM(AL66:AL66)</f>
        <v>0</v>
      </c>
    </row>
    <row r="66" spans="1:64" ht="12.75">
      <c r="A66" s="4" t="s">
        <v>44</v>
      </c>
      <c r="B66" s="13"/>
      <c r="C66" s="13" t="s">
        <v>119</v>
      </c>
      <c r="D66" s="13" t="s">
        <v>195</v>
      </c>
      <c r="E66" s="13" t="s">
        <v>224</v>
      </c>
      <c r="F66" s="21">
        <v>1</v>
      </c>
      <c r="G66" s="21"/>
      <c r="H66" s="21">
        <f>F66*AO66</f>
        <v>0</v>
      </c>
      <c r="I66" s="21">
        <f>F66*AP66</f>
        <v>0</v>
      </c>
      <c r="J66" s="21">
        <f>F66*G66</f>
        <v>0</v>
      </c>
      <c r="K66" s="21">
        <v>0</v>
      </c>
      <c r="L66" s="21">
        <f>F66*K66</f>
        <v>0</v>
      </c>
      <c r="M66" s="34"/>
      <c r="N66" s="38"/>
      <c r="Z66" s="40">
        <f>IF(AQ66="5",BJ66,0)</f>
        <v>0</v>
      </c>
      <c r="AB66" s="40">
        <f>IF(AQ66="1",BH66,0)</f>
        <v>0</v>
      </c>
      <c r="AC66" s="40">
        <f>IF(AQ66="1",BI66,0)</f>
        <v>0</v>
      </c>
      <c r="AD66" s="40">
        <f>IF(AQ66="7",BH66,0)</f>
        <v>0</v>
      </c>
      <c r="AE66" s="40">
        <f>IF(AQ66="7",BI66,0)</f>
        <v>0</v>
      </c>
      <c r="AF66" s="40">
        <f>IF(AQ66="2",BH66,0)</f>
        <v>0</v>
      </c>
      <c r="AG66" s="40">
        <f>IF(AQ66="2",BI66,0)</f>
        <v>0</v>
      </c>
      <c r="AH66" s="40">
        <f>IF(AQ66="0",BJ66,0)</f>
        <v>0</v>
      </c>
      <c r="AI66" s="30"/>
      <c r="AJ66" s="21">
        <f>IF(AN66=0,J66,0)</f>
        <v>0</v>
      </c>
      <c r="AK66" s="21">
        <f>IF(AN66=15,J66,0)</f>
        <v>0</v>
      </c>
      <c r="AL66" s="21">
        <f>IF(AN66=21,J66,0)</f>
        <v>0</v>
      </c>
      <c r="AN66" s="40">
        <v>15</v>
      </c>
      <c r="AO66" s="40">
        <f>G66*0</f>
        <v>0</v>
      </c>
      <c r="AP66" s="40">
        <f>G66*(1-0)</f>
        <v>0</v>
      </c>
      <c r="AQ66" s="41" t="s">
        <v>11</v>
      </c>
      <c r="AV66" s="40">
        <f>AW66+AX66</f>
        <v>0</v>
      </c>
      <c r="AW66" s="40">
        <f>F66*AO66</f>
        <v>0</v>
      </c>
      <c r="AX66" s="40">
        <f>F66*AP66</f>
        <v>0</v>
      </c>
      <c r="AY66" s="43" t="s">
        <v>271</v>
      </c>
      <c r="AZ66" s="43" t="s">
        <v>282</v>
      </c>
      <c r="BA66" s="30" t="s">
        <v>284</v>
      </c>
      <c r="BC66" s="40">
        <f>AW66+AX66</f>
        <v>0</v>
      </c>
      <c r="BD66" s="40">
        <f>G66/(100-BE66)*100</f>
        <v>0</v>
      </c>
      <c r="BE66" s="40">
        <v>0</v>
      </c>
      <c r="BF66" s="40">
        <f>L66</f>
        <v>0</v>
      </c>
      <c r="BH66" s="21">
        <f>F66*AO66</f>
        <v>0</v>
      </c>
      <c r="BI66" s="21">
        <f>F66*AP66</f>
        <v>0</v>
      </c>
      <c r="BJ66" s="21">
        <f>F66*G66</f>
        <v>0</v>
      </c>
      <c r="BK66" s="21" t="s">
        <v>289</v>
      </c>
      <c r="BL66" s="40" t="s">
        <v>118</v>
      </c>
    </row>
    <row r="67" spans="1:47" ht="12.75">
      <c r="A67" s="5"/>
      <c r="B67" s="14"/>
      <c r="C67" s="14" t="s">
        <v>120</v>
      </c>
      <c r="D67" s="14" t="s">
        <v>196</v>
      </c>
      <c r="E67" s="19" t="s">
        <v>6</v>
      </c>
      <c r="F67" s="19" t="s">
        <v>6</v>
      </c>
      <c r="G67" s="19" t="s">
        <v>6</v>
      </c>
      <c r="H67" s="46">
        <f>SUM(H68:H71)</f>
        <v>0</v>
      </c>
      <c r="I67" s="46">
        <f>SUM(I68:I71)</f>
        <v>0</v>
      </c>
      <c r="J67" s="46">
        <f>SUM(J68:J71)</f>
        <v>0</v>
      </c>
      <c r="K67" s="30"/>
      <c r="L67" s="46">
        <f>SUM(L68:L71)</f>
        <v>0.00032</v>
      </c>
      <c r="M67" s="35"/>
      <c r="N67" s="38"/>
      <c r="AI67" s="30"/>
      <c r="AS67" s="46">
        <f>SUM(AJ68:AJ71)</f>
        <v>0</v>
      </c>
      <c r="AT67" s="46">
        <f>SUM(AK68:AK71)</f>
        <v>0</v>
      </c>
      <c r="AU67" s="46">
        <f>SUM(AL68:AL71)</f>
        <v>0</v>
      </c>
    </row>
    <row r="68" spans="1:64" ht="12.75">
      <c r="A68" s="4" t="s">
        <v>45</v>
      </c>
      <c r="B68" s="13"/>
      <c r="C68" s="13" t="s">
        <v>121</v>
      </c>
      <c r="D68" s="13" t="s">
        <v>197</v>
      </c>
      <c r="E68" s="13" t="s">
        <v>225</v>
      </c>
      <c r="F68" s="21">
        <v>1</v>
      </c>
      <c r="G68" s="21"/>
      <c r="H68" s="21">
        <f>F68*AO68</f>
        <v>0</v>
      </c>
      <c r="I68" s="21">
        <f>F68*AP68</f>
        <v>0</v>
      </c>
      <c r="J68" s="21">
        <f>F68*G68</f>
        <v>0</v>
      </c>
      <c r="K68" s="21">
        <v>0.00032</v>
      </c>
      <c r="L68" s="21">
        <f>F68*K68</f>
        <v>0.00032</v>
      </c>
      <c r="M68" s="34"/>
      <c r="N68" s="38"/>
      <c r="Z68" s="40">
        <f>IF(AQ68="5",BJ68,0)</f>
        <v>0</v>
      </c>
      <c r="AB68" s="40">
        <f>IF(AQ68="1",BH68,0)</f>
        <v>0</v>
      </c>
      <c r="AC68" s="40">
        <f>IF(AQ68="1",BI68,0)</f>
        <v>0</v>
      </c>
      <c r="AD68" s="40">
        <f>IF(AQ68="7",BH68,0)</f>
        <v>0</v>
      </c>
      <c r="AE68" s="40">
        <f>IF(AQ68="7",BI68,0)</f>
        <v>0</v>
      </c>
      <c r="AF68" s="40">
        <f>IF(AQ68="2",BH68,0)</f>
        <v>0</v>
      </c>
      <c r="AG68" s="40">
        <f>IF(AQ68="2",BI68,0)</f>
        <v>0</v>
      </c>
      <c r="AH68" s="40">
        <f>IF(AQ68="0",BJ68,0)</f>
        <v>0</v>
      </c>
      <c r="AI68" s="30"/>
      <c r="AJ68" s="21">
        <f>IF(AN68=0,J68,0)</f>
        <v>0</v>
      </c>
      <c r="AK68" s="21">
        <f>IF(AN68=15,J68,0)</f>
        <v>0</v>
      </c>
      <c r="AL68" s="21">
        <f>IF(AN68=21,J68,0)</f>
        <v>0</v>
      </c>
      <c r="AN68" s="40">
        <v>15</v>
      </c>
      <c r="AO68" s="40">
        <f>G68*0.293993191489362</f>
        <v>0</v>
      </c>
      <c r="AP68" s="40">
        <f>G68*(1-0.293993191489362)</f>
        <v>0</v>
      </c>
      <c r="AQ68" s="41" t="s">
        <v>8</v>
      </c>
      <c r="AV68" s="40">
        <f>AW68+AX68</f>
        <v>0</v>
      </c>
      <c r="AW68" s="40">
        <f>F68*AO68</f>
        <v>0</v>
      </c>
      <c r="AX68" s="40">
        <f>F68*AP68</f>
        <v>0</v>
      </c>
      <c r="AY68" s="43" t="s">
        <v>272</v>
      </c>
      <c r="AZ68" s="43" t="s">
        <v>282</v>
      </c>
      <c r="BA68" s="30" t="s">
        <v>284</v>
      </c>
      <c r="BC68" s="40">
        <f>AW68+AX68</f>
        <v>0</v>
      </c>
      <c r="BD68" s="40">
        <f>G68/(100-BE68)*100</f>
        <v>0</v>
      </c>
      <c r="BE68" s="40">
        <v>0</v>
      </c>
      <c r="BF68" s="40">
        <f>L68</f>
        <v>0.00032</v>
      </c>
      <c r="BH68" s="21">
        <f>F68*AO68</f>
        <v>0</v>
      </c>
      <c r="BI68" s="21">
        <f>F68*AP68</f>
        <v>0</v>
      </c>
      <c r="BJ68" s="21">
        <f>F68*G68</f>
        <v>0</v>
      </c>
      <c r="BK68" s="21" t="s">
        <v>289</v>
      </c>
      <c r="BL68" s="40" t="s">
        <v>120</v>
      </c>
    </row>
    <row r="69" spans="1:64" ht="12.75">
      <c r="A69" s="4" t="s">
        <v>46</v>
      </c>
      <c r="B69" s="13"/>
      <c r="C69" s="13" t="s">
        <v>122</v>
      </c>
      <c r="D69" s="13" t="s">
        <v>198</v>
      </c>
      <c r="E69" s="13" t="s">
        <v>225</v>
      </c>
      <c r="F69" s="21">
        <v>1</v>
      </c>
      <c r="G69" s="21"/>
      <c r="H69" s="21">
        <f>F69*AO69</f>
        <v>0</v>
      </c>
      <c r="I69" s="21">
        <f>F69*AP69</f>
        <v>0</v>
      </c>
      <c r="J69" s="21">
        <f>F69*G69</f>
        <v>0</v>
      </c>
      <c r="K69" s="21">
        <v>0</v>
      </c>
      <c r="L69" s="21">
        <f>F69*K69</f>
        <v>0</v>
      </c>
      <c r="M69" s="34"/>
      <c r="N69" s="38"/>
      <c r="Z69" s="40">
        <f>IF(AQ69="5",BJ69,0)</f>
        <v>0</v>
      </c>
      <c r="AB69" s="40">
        <f>IF(AQ69="1",BH69,0)</f>
        <v>0</v>
      </c>
      <c r="AC69" s="40">
        <f>IF(AQ69="1",BI69,0)</f>
        <v>0</v>
      </c>
      <c r="AD69" s="40">
        <f>IF(AQ69="7",BH69,0)</f>
        <v>0</v>
      </c>
      <c r="AE69" s="40">
        <f>IF(AQ69="7",BI69,0)</f>
        <v>0</v>
      </c>
      <c r="AF69" s="40">
        <f>IF(AQ69="2",BH69,0)</f>
        <v>0</v>
      </c>
      <c r="AG69" s="40">
        <f>IF(AQ69="2",BI69,0)</f>
        <v>0</v>
      </c>
      <c r="AH69" s="40">
        <f>IF(AQ69="0",BJ69,0)</f>
        <v>0</v>
      </c>
      <c r="AI69" s="30"/>
      <c r="AJ69" s="21">
        <f>IF(AN69=0,J69,0)</f>
        <v>0</v>
      </c>
      <c r="AK69" s="21">
        <f>IF(AN69=15,J69,0)</f>
        <v>0</v>
      </c>
      <c r="AL69" s="21">
        <f>IF(AN69=21,J69,0)</f>
        <v>0</v>
      </c>
      <c r="AN69" s="40">
        <v>15</v>
      </c>
      <c r="AO69" s="40">
        <f>G69*0</f>
        <v>0</v>
      </c>
      <c r="AP69" s="40">
        <f>G69*(1-0)</f>
        <v>0</v>
      </c>
      <c r="AQ69" s="41" t="s">
        <v>8</v>
      </c>
      <c r="AV69" s="40">
        <f>AW69+AX69</f>
        <v>0</v>
      </c>
      <c r="AW69" s="40">
        <f>F69*AO69</f>
        <v>0</v>
      </c>
      <c r="AX69" s="40">
        <f>F69*AP69</f>
        <v>0</v>
      </c>
      <c r="AY69" s="43" t="s">
        <v>272</v>
      </c>
      <c r="AZ69" s="43" t="s">
        <v>282</v>
      </c>
      <c r="BA69" s="30" t="s">
        <v>284</v>
      </c>
      <c r="BC69" s="40">
        <f>AW69+AX69</f>
        <v>0</v>
      </c>
      <c r="BD69" s="40">
        <f>G69/(100-BE69)*100</f>
        <v>0</v>
      </c>
      <c r="BE69" s="40">
        <v>0</v>
      </c>
      <c r="BF69" s="40">
        <f>L69</f>
        <v>0</v>
      </c>
      <c r="BH69" s="21">
        <f>F69*AO69</f>
        <v>0</v>
      </c>
      <c r="BI69" s="21">
        <f>F69*AP69</f>
        <v>0</v>
      </c>
      <c r="BJ69" s="21">
        <f>F69*G69</f>
        <v>0</v>
      </c>
      <c r="BK69" s="21" t="s">
        <v>289</v>
      </c>
      <c r="BL69" s="40" t="s">
        <v>120</v>
      </c>
    </row>
    <row r="70" spans="1:64" ht="12.75">
      <c r="A70" s="4" t="s">
        <v>47</v>
      </c>
      <c r="B70" s="13"/>
      <c r="C70" s="13" t="s">
        <v>123</v>
      </c>
      <c r="D70" s="13" t="s">
        <v>199</v>
      </c>
      <c r="E70" s="13" t="s">
        <v>225</v>
      </c>
      <c r="F70" s="21">
        <v>1</v>
      </c>
      <c r="G70" s="21"/>
      <c r="H70" s="21">
        <f>F70*AO70</f>
        <v>0</v>
      </c>
      <c r="I70" s="21">
        <f>F70*AP70</f>
        <v>0</v>
      </c>
      <c r="J70" s="21">
        <f>F70*G70</f>
        <v>0</v>
      </c>
      <c r="K70" s="21">
        <v>0</v>
      </c>
      <c r="L70" s="21">
        <f>F70*K70</f>
        <v>0</v>
      </c>
      <c r="M70" s="34"/>
      <c r="N70" s="38"/>
      <c r="Z70" s="40">
        <f>IF(AQ70="5",BJ70,0)</f>
        <v>0</v>
      </c>
      <c r="AB70" s="40">
        <f>IF(AQ70="1",BH70,0)</f>
        <v>0</v>
      </c>
      <c r="AC70" s="40">
        <f>IF(AQ70="1",BI70,0)</f>
        <v>0</v>
      </c>
      <c r="AD70" s="40">
        <f>IF(AQ70="7",BH70,0)</f>
        <v>0</v>
      </c>
      <c r="AE70" s="40">
        <f>IF(AQ70="7",BI70,0)</f>
        <v>0</v>
      </c>
      <c r="AF70" s="40">
        <f>IF(AQ70="2",BH70,0)</f>
        <v>0</v>
      </c>
      <c r="AG70" s="40">
        <f>IF(AQ70="2",BI70,0)</f>
        <v>0</v>
      </c>
      <c r="AH70" s="40">
        <f>IF(AQ70="0",BJ70,0)</f>
        <v>0</v>
      </c>
      <c r="AI70" s="30"/>
      <c r="AJ70" s="21">
        <f>IF(AN70=0,J70,0)</f>
        <v>0</v>
      </c>
      <c r="AK70" s="21">
        <f>IF(AN70=15,J70,0)</f>
        <v>0</v>
      </c>
      <c r="AL70" s="21">
        <f>IF(AN70=21,J70,0)</f>
        <v>0</v>
      </c>
      <c r="AN70" s="40">
        <v>15</v>
      </c>
      <c r="AO70" s="40">
        <f>G70*0</f>
        <v>0</v>
      </c>
      <c r="AP70" s="40">
        <f>G70*(1-0)</f>
        <v>0</v>
      </c>
      <c r="AQ70" s="41" t="s">
        <v>8</v>
      </c>
      <c r="AV70" s="40">
        <f>AW70+AX70</f>
        <v>0</v>
      </c>
      <c r="AW70" s="40">
        <f>F70*AO70</f>
        <v>0</v>
      </c>
      <c r="AX70" s="40">
        <f>F70*AP70</f>
        <v>0</v>
      </c>
      <c r="AY70" s="43" t="s">
        <v>272</v>
      </c>
      <c r="AZ70" s="43" t="s">
        <v>282</v>
      </c>
      <c r="BA70" s="30" t="s">
        <v>284</v>
      </c>
      <c r="BC70" s="40">
        <f>AW70+AX70</f>
        <v>0</v>
      </c>
      <c r="BD70" s="40">
        <f>G70/(100-BE70)*100</f>
        <v>0</v>
      </c>
      <c r="BE70" s="40">
        <v>0</v>
      </c>
      <c r="BF70" s="40">
        <f>L70</f>
        <v>0</v>
      </c>
      <c r="BH70" s="21">
        <f>F70*AO70</f>
        <v>0</v>
      </c>
      <c r="BI70" s="21">
        <f>F70*AP70</f>
        <v>0</v>
      </c>
      <c r="BJ70" s="21">
        <f>F70*G70</f>
        <v>0</v>
      </c>
      <c r="BK70" s="21" t="s">
        <v>289</v>
      </c>
      <c r="BL70" s="40" t="s">
        <v>120</v>
      </c>
    </row>
    <row r="71" spans="1:64" ht="12.75">
      <c r="A71" s="4" t="s">
        <v>48</v>
      </c>
      <c r="B71" s="13"/>
      <c r="C71" s="13" t="s">
        <v>124</v>
      </c>
      <c r="D71" s="13" t="s">
        <v>200</v>
      </c>
      <c r="E71" s="13" t="s">
        <v>225</v>
      </c>
      <c r="F71" s="21">
        <v>5</v>
      </c>
      <c r="G71" s="21"/>
      <c r="H71" s="21">
        <f>F71*AO71</f>
        <v>0</v>
      </c>
      <c r="I71" s="21">
        <f>F71*AP71</f>
        <v>0</v>
      </c>
      <c r="J71" s="21">
        <f>F71*G71</f>
        <v>0</v>
      </c>
      <c r="K71" s="21">
        <v>0</v>
      </c>
      <c r="L71" s="21">
        <f>F71*K71</f>
        <v>0</v>
      </c>
      <c r="M71" s="34"/>
      <c r="N71" s="38"/>
      <c r="Z71" s="40">
        <f>IF(AQ71="5",BJ71,0)</f>
        <v>0</v>
      </c>
      <c r="AB71" s="40">
        <f>IF(AQ71="1",BH71,0)</f>
        <v>0</v>
      </c>
      <c r="AC71" s="40">
        <f>IF(AQ71="1",BI71,0)</f>
        <v>0</v>
      </c>
      <c r="AD71" s="40">
        <f>IF(AQ71="7",BH71,0)</f>
        <v>0</v>
      </c>
      <c r="AE71" s="40">
        <f>IF(AQ71="7",BI71,0)</f>
        <v>0</v>
      </c>
      <c r="AF71" s="40">
        <f>IF(AQ71="2",BH71,0)</f>
        <v>0</v>
      </c>
      <c r="AG71" s="40">
        <f>IF(AQ71="2",BI71,0)</f>
        <v>0</v>
      </c>
      <c r="AH71" s="40">
        <f>IF(AQ71="0",BJ71,0)</f>
        <v>0</v>
      </c>
      <c r="AI71" s="30"/>
      <c r="AJ71" s="21">
        <f>IF(AN71=0,J71,0)</f>
        <v>0</v>
      </c>
      <c r="AK71" s="21">
        <f>IF(AN71=15,J71,0)</f>
        <v>0</v>
      </c>
      <c r="AL71" s="21">
        <f>IF(AN71=21,J71,0)</f>
        <v>0</v>
      </c>
      <c r="AN71" s="40">
        <v>15</v>
      </c>
      <c r="AO71" s="40">
        <f>G71*0</f>
        <v>0</v>
      </c>
      <c r="AP71" s="40">
        <f>G71*(1-0)</f>
        <v>0</v>
      </c>
      <c r="AQ71" s="41" t="s">
        <v>8</v>
      </c>
      <c r="AV71" s="40">
        <f>AW71+AX71</f>
        <v>0</v>
      </c>
      <c r="AW71" s="40">
        <f>F71*AO71</f>
        <v>0</v>
      </c>
      <c r="AX71" s="40">
        <f>F71*AP71</f>
        <v>0</v>
      </c>
      <c r="AY71" s="43" t="s">
        <v>272</v>
      </c>
      <c r="AZ71" s="43" t="s">
        <v>282</v>
      </c>
      <c r="BA71" s="30" t="s">
        <v>284</v>
      </c>
      <c r="BC71" s="40">
        <f>AW71+AX71</f>
        <v>0</v>
      </c>
      <c r="BD71" s="40">
        <f>G71/(100-BE71)*100</f>
        <v>0</v>
      </c>
      <c r="BE71" s="40">
        <v>0</v>
      </c>
      <c r="BF71" s="40">
        <f>L71</f>
        <v>0</v>
      </c>
      <c r="BH71" s="21">
        <f>F71*AO71</f>
        <v>0</v>
      </c>
      <c r="BI71" s="21">
        <f>F71*AP71</f>
        <v>0</v>
      </c>
      <c r="BJ71" s="21">
        <f>F71*G71</f>
        <v>0</v>
      </c>
      <c r="BK71" s="21" t="s">
        <v>289</v>
      </c>
      <c r="BL71" s="40" t="s">
        <v>120</v>
      </c>
    </row>
    <row r="72" spans="1:47" ht="12.75">
      <c r="A72" s="5"/>
      <c r="B72" s="14"/>
      <c r="C72" s="14"/>
      <c r="D72" s="14" t="s">
        <v>201</v>
      </c>
      <c r="E72" s="19" t="s">
        <v>6</v>
      </c>
      <c r="F72" s="19" t="s">
        <v>6</v>
      </c>
      <c r="G72" s="19" t="s">
        <v>6</v>
      </c>
      <c r="H72" s="46">
        <f>SUM(H73:H86)</f>
        <v>0</v>
      </c>
      <c r="I72" s="46">
        <f>SUM(I73:I86)</f>
        <v>0</v>
      </c>
      <c r="J72" s="46">
        <f>SUM(J73:J86)</f>
        <v>0</v>
      </c>
      <c r="K72" s="30"/>
      <c r="L72" s="46">
        <f>SUM(L73:L86)</f>
        <v>0.34584999999999994</v>
      </c>
      <c r="M72" s="35"/>
      <c r="N72" s="38"/>
      <c r="AI72" s="30"/>
      <c r="AS72" s="46">
        <f>SUM(AJ73:AJ86)</f>
        <v>0</v>
      </c>
      <c r="AT72" s="46">
        <f>SUM(AK73:AK86)</f>
        <v>0</v>
      </c>
      <c r="AU72" s="46">
        <f>SUM(AL73:AL86)</f>
        <v>0</v>
      </c>
    </row>
    <row r="73" spans="1:64" ht="12.75">
      <c r="A73" s="6" t="s">
        <v>49</v>
      </c>
      <c r="B73" s="15"/>
      <c r="C73" s="15" t="s">
        <v>125</v>
      </c>
      <c r="D73" s="15" t="s">
        <v>202</v>
      </c>
      <c r="E73" s="15" t="s">
        <v>221</v>
      </c>
      <c r="F73" s="22">
        <v>7.5</v>
      </c>
      <c r="G73" s="22"/>
      <c r="H73" s="22">
        <f aca="true" t="shared" si="0" ref="H73:H86">F73*AO73</f>
        <v>0</v>
      </c>
      <c r="I73" s="22">
        <f aca="true" t="shared" si="1" ref="I73:I86">F73*AP73</f>
        <v>0</v>
      </c>
      <c r="J73" s="22">
        <f aca="true" t="shared" si="2" ref="J73:J86">F73*G73</f>
        <v>0</v>
      </c>
      <c r="K73" s="22">
        <v>0.0185</v>
      </c>
      <c r="L73" s="22">
        <f aca="true" t="shared" si="3" ref="L73:L86">F73*K73</f>
        <v>0.13874999999999998</v>
      </c>
      <c r="M73" s="36"/>
      <c r="N73" s="38"/>
      <c r="Z73" s="40">
        <f aca="true" t="shared" si="4" ref="Z73:Z86">IF(AQ73="5",BJ73,0)</f>
        <v>0</v>
      </c>
      <c r="AB73" s="40">
        <f aca="true" t="shared" si="5" ref="AB73:AB86">IF(AQ73="1",BH73,0)</f>
        <v>0</v>
      </c>
      <c r="AC73" s="40">
        <f aca="true" t="shared" si="6" ref="AC73:AC86">IF(AQ73="1",BI73,0)</f>
        <v>0</v>
      </c>
      <c r="AD73" s="40">
        <f aca="true" t="shared" si="7" ref="AD73:AD86">IF(AQ73="7",BH73,0)</f>
        <v>0</v>
      </c>
      <c r="AE73" s="40">
        <f aca="true" t="shared" si="8" ref="AE73:AE86">IF(AQ73="7",BI73,0)</f>
        <v>0</v>
      </c>
      <c r="AF73" s="40">
        <f aca="true" t="shared" si="9" ref="AF73:AF86">IF(AQ73="2",BH73,0)</f>
        <v>0</v>
      </c>
      <c r="AG73" s="40">
        <f aca="true" t="shared" si="10" ref="AG73:AG86">IF(AQ73="2",BI73,0)</f>
        <v>0</v>
      </c>
      <c r="AH73" s="40">
        <f aca="true" t="shared" si="11" ref="AH73:AH86">IF(AQ73="0",BJ73,0)</f>
        <v>0</v>
      </c>
      <c r="AI73" s="30"/>
      <c r="AJ73" s="22">
        <f aca="true" t="shared" si="12" ref="AJ73:AJ86">IF(AN73=0,J73,0)</f>
        <v>0</v>
      </c>
      <c r="AK73" s="22">
        <f aca="true" t="shared" si="13" ref="AK73:AK86">IF(AN73=15,J73,0)</f>
        <v>0</v>
      </c>
      <c r="AL73" s="22">
        <f aca="true" t="shared" si="14" ref="AL73:AL86">IF(AN73=21,J73,0)</f>
        <v>0</v>
      </c>
      <c r="AN73" s="40">
        <v>15</v>
      </c>
      <c r="AO73" s="40">
        <f aca="true" t="shared" si="15" ref="AO73:AO86">G73*1</f>
        <v>0</v>
      </c>
      <c r="AP73" s="40">
        <f aca="true" t="shared" si="16" ref="AP73:AP86">G73*(1-1)</f>
        <v>0</v>
      </c>
      <c r="AQ73" s="42" t="s">
        <v>254</v>
      </c>
      <c r="AV73" s="40">
        <f aca="true" t="shared" si="17" ref="AV73:AV86">AW73+AX73</f>
        <v>0</v>
      </c>
      <c r="AW73" s="40">
        <f aca="true" t="shared" si="18" ref="AW73:AW86">F73*AO73</f>
        <v>0</v>
      </c>
      <c r="AX73" s="40">
        <f aca="true" t="shared" si="19" ref="AX73:AX86">F73*AP73</f>
        <v>0</v>
      </c>
      <c r="AY73" s="43" t="s">
        <v>273</v>
      </c>
      <c r="AZ73" s="43" t="s">
        <v>283</v>
      </c>
      <c r="BA73" s="30" t="s">
        <v>284</v>
      </c>
      <c r="BC73" s="40">
        <f aca="true" t="shared" si="20" ref="BC73:BC86">AW73+AX73</f>
        <v>0</v>
      </c>
      <c r="BD73" s="40">
        <f aca="true" t="shared" si="21" ref="BD73:BD86">G73/(100-BE73)*100</f>
        <v>0</v>
      </c>
      <c r="BE73" s="40">
        <v>0</v>
      </c>
      <c r="BF73" s="40">
        <f aca="true" t="shared" si="22" ref="BF73:BF86">L73</f>
        <v>0.13874999999999998</v>
      </c>
      <c r="BH73" s="22">
        <f aca="true" t="shared" si="23" ref="BH73:BH86">F73*AO73</f>
        <v>0</v>
      </c>
      <c r="BI73" s="22">
        <f aca="true" t="shared" si="24" ref="BI73:BI86">F73*AP73</f>
        <v>0</v>
      </c>
      <c r="BJ73" s="22">
        <f aca="true" t="shared" si="25" ref="BJ73:BJ86">F73*G73</f>
        <v>0</v>
      </c>
      <c r="BK73" s="22" t="s">
        <v>290</v>
      </c>
      <c r="BL73" s="40"/>
    </row>
    <row r="74" spans="1:64" ht="12.75">
      <c r="A74" s="6" t="s">
        <v>50</v>
      </c>
      <c r="B74" s="15"/>
      <c r="C74" s="15" t="s">
        <v>126</v>
      </c>
      <c r="D74" s="15" t="s">
        <v>203</v>
      </c>
      <c r="E74" s="15" t="s">
        <v>225</v>
      </c>
      <c r="F74" s="22">
        <v>1</v>
      </c>
      <c r="G74" s="22"/>
      <c r="H74" s="22">
        <f t="shared" si="0"/>
        <v>0</v>
      </c>
      <c r="I74" s="22">
        <f t="shared" si="1"/>
        <v>0</v>
      </c>
      <c r="J74" s="22">
        <f t="shared" si="2"/>
        <v>0</v>
      </c>
      <c r="K74" s="22">
        <v>0.00021</v>
      </c>
      <c r="L74" s="22">
        <f t="shared" si="3"/>
        <v>0.00021</v>
      </c>
      <c r="M74" s="36"/>
      <c r="N74" s="38"/>
      <c r="Z74" s="40">
        <f t="shared" si="4"/>
        <v>0</v>
      </c>
      <c r="AB74" s="40">
        <f t="shared" si="5"/>
        <v>0</v>
      </c>
      <c r="AC74" s="40">
        <f t="shared" si="6"/>
        <v>0</v>
      </c>
      <c r="AD74" s="40">
        <f t="shared" si="7"/>
        <v>0</v>
      </c>
      <c r="AE74" s="40">
        <f t="shared" si="8"/>
        <v>0</v>
      </c>
      <c r="AF74" s="40">
        <f t="shared" si="9"/>
        <v>0</v>
      </c>
      <c r="AG74" s="40">
        <f t="shared" si="10"/>
        <v>0</v>
      </c>
      <c r="AH74" s="40">
        <f t="shared" si="11"/>
        <v>0</v>
      </c>
      <c r="AI74" s="30"/>
      <c r="AJ74" s="22">
        <f t="shared" si="12"/>
        <v>0</v>
      </c>
      <c r="AK74" s="22">
        <f t="shared" si="13"/>
        <v>0</v>
      </c>
      <c r="AL74" s="22">
        <f t="shared" si="14"/>
        <v>0</v>
      </c>
      <c r="AN74" s="40">
        <v>15</v>
      </c>
      <c r="AO74" s="40">
        <f t="shared" si="15"/>
        <v>0</v>
      </c>
      <c r="AP74" s="40">
        <f t="shared" si="16"/>
        <v>0</v>
      </c>
      <c r="AQ74" s="42" t="s">
        <v>254</v>
      </c>
      <c r="AV74" s="40">
        <f t="shared" si="17"/>
        <v>0</v>
      </c>
      <c r="AW74" s="40">
        <f t="shared" si="18"/>
        <v>0</v>
      </c>
      <c r="AX74" s="40">
        <f t="shared" si="19"/>
        <v>0</v>
      </c>
      <c r="AY74" s="43" t="s">
        <v>273</v>
      </c>
      <c r="AZ74" s="43" t="s">
        <v>283</v>
      </c>
      <c r="BA74" s="30" t="s">
        <v>284</v>
      </c>
      <c r="BC74" s="40">
        <f t="shared" si="20"/>
        <v>0</v>
      </c>
      <c r="BD74" s="40">
        <f t="shared" si="21"/>
        <v>0</v>
      </c>
      <c r="BE74" s="40">
        <v>0</v>
      </c>
      <c r="BF74" s="40">
        <f t="shared" si="22"/>
        <v>0.00021</v>
      </c>
      <c r="BH74" s="22">
        <f t="shared" si="23"/>
        <v>0</v>
      </c>
      <c r="BI74" s="22">
        <f t="shared" si="24"/>
        <v>0</v>
      </c>
      <c r="BJ74" s="22">
        <f t="shared" si="25"/>
        <v>0</v>
      </c>
      <c r="BK74" s="22" t="s">
        <v>290</v>
      </c>
      <c r="BL74" s="40"/>
    </row>
    <row r="75" spans="1:64" ht="12.75">
      <c r="A75" s="6" t="s">
        <v>51</v>
      </c>
      <c r="B75" s="15"/>
      <c r="C75" s="15" t="s">
        <v>127</v>
      </c>
      <c r="D75" s="15" t="s">
        <v>204</v>
      </c>
      <c r="E75" s="15" t="s">
        <v>225</v>
      </c>
      <c r="F75" s="22">
        <v>1</v>
      </c>
      <c r="G75" s="22"/>
      <c r="H75" s="22">
        <f t="shared" si="0"/>
        <v>0</v>
      </c>
      <c r="I75" s="22">
        <f t="shared" si="1"/>
        <v>0</v>
      </c>
      <c r="J75" s="22">
        <f t="shared" si="2"/>
        <v>0</v>
      </c>
      <c r="K75" s="22">
        <v>0.00133</v>
      </c>
      <c r="L75" s="22">
        <f t="shared" si="3"/>
        <v>0.00133</v>
      </c>
      <c r="M75" s="36"/>
      <c r="N75" s="38"/>
      <c r="Z75" s="40">
        <f t="shared" si="4"/>
        <v>0</v>
      </c>
      <c r="AB75" s="40">
        <f t="shared" si="5"/>
        <v>0</v>
      </c>
      <c r="AC75" s="40">
        <f t="shared" si="6"/>
        <v>0</v>
      </c>
      <c r="AD75" s="40">
        <f t="shared" si="7"/>
        <v>0</v>
      </c>
      <c r="AE75" s="40">
        <f t="shared" si="8"/>
        <v>0</v>
      </c>
      <c r="AF75" s="40">
        <f t="shared" si="9"/>
        <v>0</v>
      </c>
      <c r="AG75" s="40">
        <f t="shared" si="10"/>
        <v>0</v>
      </c>
      <c r="AH75" s="40">
        <f t="shared" si="11"/>
        <v>0</v>
      </c>
      <c r="AI75" s="30"/>
      <c r="AJ75" s="22">
        <f t="shared" si="12"/>
        <v>0</v>
      </c>
      <c r="AK75" s="22">
        <f t="shared" si="13"/>
        <v>0</v>
      </c>
      <c r="AL75" s="22">
        <f t="shared" si="14"/>
        <v>0</v>
      </c>
      <c r="AN75" s="40">
        <v>15</v>
      </c>
      <c r="AO75" s="40">
        <f t="shared" si="15"/>
        <v>0</v>
      </c>
      <c r="AP75" s="40">
        <f t="shared" si="16"/>
        <v>0</v>
      </c>
      <c r="AQ75" s="42" t="s">
        <v>254</v>
      </c>
      <c r="AV75" s="40">
        <f t="shared" si="17"/>
        <v>0</v>
      </c>
      <c r="AW75" s="40">
        <f t="shared" si="18"/>
        <v>0</v>
      </c>
      <c r="AX75" s="40">
        <f t="shared" si="19"/>
        <v>0</v>
      </c>
      <c r="AY75" s="43" t="s">
        <v>273</v>
      </c>
      <c r="AZ75" s="43" t="s">
        <v>283</v>
      </c>
      <c r="BA75" s="30" t="s">
        <v>284</v>
      </c>
      <c r="BC75" s="40">
        <f t="shared" si="20"/>
        <v>0</v>
      </c>
      <c r="BD75" s="40">
        <f t="shared" si="21"/>
        <v>0</v>
      </c>
      <c r="BE75" s="40">
        <v>0</v>
      </c>
      <c r="BF75" s="40">
        <f t="shared" si="22"/>
        <v>0.00133</v>
      </c>
      <c r="BH75" s="22">
        <f t="shared" si="23"/>
        <v>0</v>
      </c>
      <c r="BI75" s="22">
        <f t="shared" si="24"/>
        <v>0</v>
      </c>
      <c r="BJ75" s="22">
        <f t="shared" si="25"/>
        <v>0</v>
      </c>
      <c r="BK75" s="22" t="s">
        <v>290</v>
      </c>
      <c r="BL75" s="40"/>
    </row>
    <row r="76" spans="1:64" ht="12.75">
      <c r="A76" s="6" t="s">
        <v>52</v>
      </c>
      <c r="B76" s="15"/>
      <c r="C76" s="15" t="s">
        <v>128</v>
      </c>
      <c r="D76" s="15" t="s">
        <v>205</v>
      </c>
      <c r="E76" s="15" t="s">
        <v>225</v>
      </c>
      <c r="F76" s="22">
        <v>1</v>
      </c>
      <c r="G76" s="22"/>
      <c r="H76" s="22">
        <f t="shared" si="0"/>
        <v>0</v>
      </c>
      <c r="I76" s="22">
        <f t="shared" si="1"/>
        <v>0</v>
      </c>
      <c r="J76" s="22">
        <f t="shared" si="2"/>
        <v>0</v>
      </c>
      <c r="K76" s="22">
        <v>0.0027</v>
      </c>
      <c r="L76" s="22">
        <f t="shared" si="3"/>
        <v>0.0027</v>
      </c>
      <c r="M76" s="36"/>
      <c r="N76" s="38"/>
      <c r="Z76" s="40">
        <f t="shared" si="4"/>
        <v>0</v>
      </c>
      <c r="AB76" s="40">
        <f t="shared" si="5"/>
        <v>0</v>
      </c>
      <c r="AC76" s="40">
        <f t="shared" si="6"/>
        <v>0</v>
      </c>
      <c r="AD76" s="40">
        <f t="shared" si="7"/>
        <v>0</v>
      </c>
      <c r="AE76" s="40">
        <f t="shared" si="8"/>
        <v>0</v>
      </c>
      <c r="AF76" s="40">
        <f t="shared" si="9"/>
        <v>0</v>
      </c>
      <c r="AG76" s="40">
        <f t="shared" si="10"/>
        <v>0</v>
      </c>
      <c r="AH76" s="40">
        <f t="shared" si="11"/>
        <v>0</v>
      </c>
      <c r="AI76" s="30"/>
      <c r="AJ76" s="22">
        <f t="shared" si="12"/>
        <v>0</v>
      </c>
      <c r="AK76" s="22">
        <f t="shared" si="13"/>
        <v>0</v>
      </c>
      <c r="AL76" s="22">
        <f t="shared" si="14"/>
        <v>0</v>
      </c>
      <c r="AN76" s="40">
        <v>15</v>
      </c>
      <c r="AO76" s="40">
        <f t="shared" si="15"/>
        <v>0</v>
      </c>
      <c r="AP76" s="40">
        <f t="shared" si="16"/>
        <v>0</v>
      </c>
      <c r="AQ76" s="42" t="s">
        <v>254</v>
      </c>
      <c r="AV76" s="40">
        <f t="shared" si="17"/>
        <v>0</v>
      </c>
      <c r="AW76" s="40">
        <f t="shared" si="18"/>
        <v>0</v>
      </c>
      <c r="AX76" s="40">
        <f t="shared" si="19"/>
        <v>0</v>
      </c>
      <c r="AY76" s="43" t="s">
        <v>273</v>
      </c>
      <c r="AZ76" s="43" t="s">
        <v>283</v>
      </c>
      <c r="BA76" s="30" t="s">
        <v>284</v>
      </c>
      <c r="BC76" s="40">
        <f t="shared" si="20"/>
        <v>0</v>
      </c>
      <c r="BD76" s="40">
        <f t="shared" si="21"/>
        <v>0</v>
      </c>
      <c r="BE76" s="40">
        <v>0</v>
      </c>
      <c r="BF76" s="40">
        <f t="shared" si="22"/>
        <v>0.0027</v>
      </c>
      <c r="BH76" s="22">
        <f t="shared" si="23"/>
        <v>0</v>
      </c>
      <c r="BI76" s="22">
        <f t="shared" si="24"/>
        <v>0</v>
      </c>
      <c r="BJ76" s="22">
        <f t="shared" si="25"/>
        <v>0</v>
      </c>
      <c r="BK76" s="22" t="s">
        <v>290</v>
      </c>
      <c r="BL76" s="40"/>
    </row>
    <row r="77" spans="1:64" ht="12.75">
      <c r="A77" s="6" t="s">
        <v>53</v>
      </c>
      <c r="B77" s="15"/>
      <c r="C77" s="15" t="s">
        <v>129</v>
      </c>
      <c r="D77" s="15" t="s">
        <v>206</v>
      </c>
      <c r="E77" s="15" t="s">
        <v>225</v>
      </c>
      <c r="F77" s="22">
        <v>1</v>
      </c>
      <c r="G77" s="22"/>
      <c r="H77" s="22">
        <f t="shared" si="0"/>
        <v>0</v>
      </c>
      <c r="I77" s="22">
        <f t="shared" si="1"/>
        <v>0</v>
      </c>
      <c r="J77" s="22">
        <f t="shared" si="2"/>
        <v>0</v>
      </c>
      <c r="K77" s="22">
        <v>0.0008</v>
      </c>
      <c r="L77" s="22">
        <f t="shared" si="3"/>
        <v>0.0008</v>
      </c>
      <c r="M77" s="36"/>
      <c r="N77" s="38"/>
      <c r="Z77" s="40">
        <f t="shared" si="4"/>
        <v>0</v>
      </c>
      <c r="AB77" s="40">
        <f t="shared" si="5"/>
        <v>0</v>
      </c>
      <c r="AC77" s="40">
        <f t="shared" si="6"/>
        <v>0</v>
      </c>
      <c r="AD77" s="40">
        <f t="shared" si="7"/>
        <v>0</v>
      </c>
      <c r="AE77" s="40">
        <f t="shared" si="8"/>
        <v>0</v>
      </c>
      <c r="AF77" s="40">
        <f t="shared" si="9"/>
        <v>0</v>
      </c>
      <c r="AG77" s="40">
        <f t="shared" si="10"/>
        <v>0</v>
      </c>
      <c r="AH77" s="40">
        <f t="shared" si="11"/>
        <v>0</v>
      </c>
      <c r="AI77" s="30"/>
      <c r="AJ77" s="22">
        <f t="shared" si="12"/>
        <v>0</v>
      </c>
      <c r="AK77" s="22">
        <f t="shared" si="13"/>
        <v>0</v>
      </c>
      <c r="AL77" s="22">
        <f t="shared" si="14"/>
        <v>0</v>
      </c>
      <c r="AN77" s="40">
        <v>15</v>
      </c>
      <c r="AO77" s="40">
        <f t="shared" si="15"/>
        <v>0</v>
      </c>
      <c r="AP77" s="40">
        <f t="shared" si="16"/>
        <v>0</v>
      </c>
      <c r="AQ77" s="42" t="s">
        <v>254</v>
      </c>
      <c r="AV77" s="40">
        <f t="shared" si="17"/>
        <v>0</v>
      </c>
      <c r="AW77" s="40">
        <f t="shared" si="18"/>
        <v>0</v>
      </c>
      <c r="AX77" s="40">
        <f t="shared" si="19"/>
        <v>0</v>
      </c>
      <c r="AY77" s="43" t="s">
        <v>273</v>
      </c>
      <c r="AZ77" s="43" t="s">
        <v>283</v>
      </c>
      <c r="BA77" s="30" t="s">
        <v>284</v>
      </c>
      <c r="BC77" s="40">
        <f t="shared" si="20"/>
        <v>0</v>
      </c>
      <c r="BD77" s="40">
        <f t="shared" si="21"/>
        <v>0</v>
      </c>
      <c r="BE77" s="40">
        <v>0</v>
      </c>
      <c r="BF77" s="40">
        <f t="shared" si="22"/>
        <v>0.0008</v>
      </c>
      <c r="BH77" s="22">
        <f t="shared" si="23"/>
        <v>0</v>
      </c>
      <c r="BI77" s="22">
        <f t="shared" si="24"/>
        <v>0</v>
      </c>
      <c r="BJ77" s="22">
        <f t="shared" si="25"/>
        <v>0</v>
      </c>
      <c r="BK77" s="22" t="s">
        <v>290</v>
      </c>
      <c r="BL77" s="40"/>
    </row>
    <row r="78" spans="1:64" ht="12.75">
      <c r="A78" s="6" t="s">
        <v>54</v>
      </c>
      <c r="B78" s="15"/>
      <c r="C78" s="15" t="s">
        <v>130</v>
      </c>
      <c r="D78" s="15" t="s">
        <v>207</v>
      </c>
      <c r="E78" s="15" t="s">
        <v>225</v>
      </c>
      <c r="F78" s="22">
        <v>1</v>
      </c>
      <c r="G78" s="22"/>
      <c r="H78" s="22">
        <f t="shared" si="0"/>
        <v>0</v>
      </c>
      <c r="I78" s="22">
        <f t="shared" si="1"/>
        <v>0</v>
      </c>
      <c r="J78" s="22">
        <f t="shared" si="2"/>
        <v>0</v>
      </c>
      <c r="K78" s="22">
        <v>0.013</v>
      </c>
      <c r="L78" s="22">
        <f t="shared" si="3"/>
        <v>0.013</v>
      </c>
      <c r="M78" s="36"/>
      <c r="N78" s="38"/>
      <c r="Z78" s="40">
        <f t="shared" si="4"/>
        <v>0</v>
      </c>
      <c r="AB78" s="40">
        <f t="shared" si="5"/>
        <v>0</v>
      </c>
      <c r="AC78" s="40">
        <f t="shared" si="6"/>
        <v>0</v>
      </c>
      <c r="AD78" s="40">
        <f t="shared" si="7"/>
        <v>0</v>
      </c>
      <c r="AE78" s="40">
        <f t="shared" si="8"/>
        <v>0</v>
      </c>
      <c r="AF78" s="40">
        <f t="shared" si="9"/>
        <v>0</v>
      </c>
      <c r="AG78" s="40">
        <f t="shared" si="10"/>
        <v>0</v>
      </c>
      <c r="AH78" s="40">
        <f t="shared" si="11"/>
        <v>0</v>
      </c>
      <c r="AI78" s="30"/>
      <c r="AJ78" s="22">
        <f t="shared" si="12"/>
        <v>0</v>
      </c>
      <c r="AK78" s="22">
        <f t="shared" si="13"/>
        <v>0</v>
      </c>
      <c r="AL78" s="22">
        <f t="shared" si="14"/>
        <v>0</v>
      </c>
      <c r="AN78" s="40">
        <v>15</v>
      </c>
      <c r="AO78" s="40">
        <f t="shared" si="15"/>
        <v>0</v>
      </c>
      <c r="AP78" s="40">
        <f t="shared" si="16"/>
        <v>0</v>
      </c>
      <c r="AQ78" s="42" t="s">
        <v>254</v>
      </c>
      <c r="AV78" s="40">
        <f t="shared" si="17"/>
        <v>0</v>
      </c>
      <c r="AW78" s="40">
        <f t="shared" si="18"/>
        <v>0</v>
      </c>
      <c r="AX78" s="40">
        <f t="shared" si="19"/>
        <v>0</v>
      </c>
      <c r="AY78" s="43" t="s">
        <v>273</v>
      </c>
      <c r="AZ78" s="43" t="s">
        <v>283</v>
      </c>
      <c r="BA78" s="30" t="s">
        <v>284</v>
      </c>
      <c r="BC78" s="40">
        <f t="shared" si="20"/>
        <v>0</v>
      </c>
      <c r="BD78" s="40">
        <f t="shared" si="21"/>
        <v>0</v>
      </c>
      <c r="BE78" s="40">
        <v>0</v>
      </c>
      <c r="BF78" s="40">
        <f t="shared" si="22"/>
        <v>0.013</v>
      </c>
      <c r="BH78" s="22">
        <f t="shared" si="23"/>
        <v>0</v>
      </c>
      <c r="BI78" s="22">
        <f t="shared" si="24"/>
        <v>0</v>
      </c>
      <c r="BJ78" s="22">
        <f t="shared" si="25"/>
        <v>0</v>
      </c>
      <c r="BK78" s="22" t="s">
        <v>290</v>
      </c>
      <c r="BL78" s="40"/>
    </row>
    <row r="79" spans="1:64" ht="12.75">
      <c r="A79" s="6" t="s">
        <v>55</v>
      </c>
      <c r="B79" s="15"/>
      <c r="C79" s="15" t="s">
        <v>131</v>
      </c>
      <c r="D79" s="15" t="s">
        <v>208</v>
      </c>
      <c r="E79" s="15" t="s">
        <v>225</v>
      </c>
      <c r="F79" s="22">
        <v>3</v>
      </c>
      <c r="G79" s="22"/>
      <c r="H79" s="22">
        <f t="shared" si="0"/>
        <v>0</v>
      </c>
      <c r="I79" s="22">
        <f t="shared" si="1"/>
        <v>0</v>
      </c>
      <c r="J79" s="22">
        <f t="shared" si="2"/>
        <v>0</v>
      </c>
      <c r="K79" s="22">
        <v>0.0011</v>
      </c>
      <c r="L79" s="22">
        <f t="shared" si="3"/>
        <v>0.0033</v>
      </c>
      <c r="M79" s="36"/>
      <c r="N79" s="38"/>
      <c r="Z79" s="40">
        <f t="shared" si="4"/>
        <v>0</v>
      </c>
      <c r="AB79" s="40">
        <f t="shared" si="5"/>
        <v>0</v>
      </c>
      <c r="AC79" s="40">
        <f t="shared" si="6"/>
        <v>0</v>
      </c>
      <c r="AD79" s="40">
        <f t="shared" si="7"/>
        <v>0</v>
      </c>
      <c r="AE79" s="40">
        <f t="shared" si="8"/>
        <v>0</v>
      </c>
      <c r="AF79" s="40">
        <f t="shared" si="9"/>
        <v>0</v>
      </c>
      <c r="AG79" s="40">
        <f t="shared" si="10"/>
        <v>0</v>
      </c>
      <c r="AH79" s="40">
        <f t="shared" si="11"/>
        <v>0</v>
      </c>
      <c r="AI79" s="30"/>
      <c r="AJ79" s="22">
        <f t="shared" si="12"/>
        <v>0</v>
      </c>
      <c r="AK79" s="22">
        <f t="shared" si="13"/>
        <v>0</v>
      </c>
      <c r="AL79" s="22">
        <f t="shared" si="14"/>
        <v>0</v>
      </c>
      <c r="AN79" s="40">
        <v>15</v>
      </c>
      <c r="AO79" s="40">
        <f t="shared" si="15"/>
        <v>0</v>
      </c>
      <c r="AP79" s="40">
        <f t="shared" si="16"/>
        <v>0</v>
      </c>
      <c r="AQ79" s="42" t="s">
        <v>254</v>
      </c>
      <c r="AV79" s="40">
        <f t="shared" si="17"/>
        <v>0</v>
      </c>
      <c r="AW79" s="40">
        <f t="shared" si="18"/>
        <v>0</v>
      </c>
      <c r="AX79" s="40">
        <f t="shared" si="19"/>
        <v>0</v>
      </c>
      <c r="AY79" s="43" t="s">
        <v>273</v>
      </c>
      <c r="AZ79" s="43" t="s">
        <v>283</v>
      </c>
      <c r="BA79" s="30" t="s">
        <v>284</v>
      </c>
      <c r="BC79" s="40">
        <f t="shared" si="20"/>
        <v>0</v>
      </c>
      <c r="BD79" s="40">
        <f t="shared" si="21"/>
        <v>0</v>
      </c>
      <c r="BE79" s="40">
        <v>0</v>
      </c>
      <c r="BF79" s="40">
        <f t="shared" si="22"/>
        <v>0.0033</v>
      </c>
      <c r="BH79" s="22">
        <f t="shared" si="23"/>
        <v>0</v>
      </c>
      <c r="BI79" s="22">
        <f t="shared" si="24"/>
        <v>0</v>
      </c>
      <c r="BJ79" s="22">
        <f t="shared" si="25"/>
        <v>0</v>
      </c>
      <c r="BK79" s="22" t="s">
        <v>290</v>
      </c>
      <c r="BL79" s="40"/>
    </row>
    <row r="80" spans="1:64" ht="12.75">
      <c r="A80" s="6" t="s">
        <v>56</v>
      </c>
      <c r="B80" s="15"/>
      <c r="C80" s="15" t="s">
        <v>132</v>
      </c>
      <c r="D80" s="15" t="s">
        <v>209</v>
      </c>
      <c r="E80" s="15" t="s">
        <v>225</v>
      </c>
      <c r="F80" s="22">
        <v>1</v>
      </c>
      <c r="G80" s="22"/>
      <c r="H80" s="22">
        <f t="shared" si="0"/>
        <v>0</v>
      </c>
      <c r="I80" s="22">
        <f t="shared" si="1"/>
        <v>0</v>
      </c>
      <c r="J80" s="22">
        <f t="shared" si="2"/>
        <v>0</v>
      </c>
      <c r="K80" s="22">
        <v>0.022</v>
      </c>
      <c r="L80" s="22">
        <f t="shared" si="3"/>
        <v>0.022</v>
      </c>
      <c r="M80" s="36"/>
      <c r="N80" s="38"/>
      <c r="Z80" s="40">
        <f t="shared" si="4"/>
        <v>0</v>
      </c>
      <c r="AB80" s="40">
        <f t="shared" si="5"/>
        <v>0</v>
      </c>
      <c r="AC80" s="40">
        <f t="shared" si="6"/>
        <v>0</v>
      </c>
      <c r="AD80" s="40">
        <f t="shared" si="7"/>
        <v>0</v>
      </c>
      <c r="AE80" s="40">
        <f t="shared" si="8"/>
        <v>0</v>
      </c>
      <c r="AF80" s="40">
        <f t="shared" si="9"/>
        <v>0</v>
      </c>
      <c r="AG80" s="40">
        <f t="shared" si="10"/>
        <v>0</v>
      </c>
      <c r="AH80" s="40">
        <f t="shared" si="11"/>
        <v>0</v>
      </c>
      <c r="AI80" s="30"/>
      <c r="AJ80" s="22">
        <f t="shared" si="12"/>
        <v>0</v>
      </c>
      <c r="AK80" s="22">
        <f t="shared" si="13"/>
        <v>0</v>
      </c>
      <c r="AL80" s="22">
        <f t="shared" si="14"/>
        <v>0</v>
      </c>
      <c r="AN80" s="40">
        <v>15</v>
      </c>
      <c r="AO80" s="40">
        <f t="shared" si="15"/>
        <v>0</v>
      </c>
      <c r="AP80" s="40">
        <f t="shared" si="16"/>
        <v>0</v>
      </c>
      <c r="AQ80" s="42" t="s">
        <v>254</v>
      </c>
      <c r="AV80" s="40">
        <f t="shared" si="17"/>
        <v>0</v>
      </c>
      <c r="AW80" s="40">
        <f t="shared" si="18"/>
        <v>0</v>
      </c>
      <c r="AX80" s="40">
        <f t="shared" si="19"/>
        <v>0</v>
      </c>
      <c r="AY80" s="43" t="s">
        <v>273</v>
      </c>
      <c r="AZ80" s="43" t="s">
        <v>283</v>
      </c>
      <c r="BA80" s="30" t="s">
        <v>284</v>
      </c>
      <c r="BC80" s="40">
        <f t="shared" si="20"/>
        <v>0</v>
      </c>
      <c r="BD80" s="40">
        <f t="shared" si="21"/>
        <v>0</v>
      </c>
      <c r="BE80" s="40">
        <v>0</v>
      </c>
      <c r="BF80" s="40">
        <f t="shared" si="22"/>
        <v>0.022</v>
      </c>
      <c r="BH80" s="22">
        <f t="shared" si="23"/>
        <v>0</v>
      </c>
      <c r="BI80" s="22">
        <f t="shared" si="24"/>
        <v>0</v>
      </c>
      <c r="BJ80" s="22">
        <f t="shared" si="25"/>
        <v>0</v>
      </c>
      <c r="BK80" s="22" t="s">
        <v>290</v>
      </c>
      <c r="BL80" s="40"/>
    </row>
    <row r="81" spans="1:64" ht="12.75">
      <c r="A81" s="6" t="s">
        <v>57</v>
      </c>
      <c r="B81" s="15"/>
      <c r="C81" s="15" t="s">
        <v>133</v>
      </c>
      <c r="D81" s="15" t="s">
        <v>210</v>
      </c>
      <c r="E81" s="15" t="s">
        <v>225</v>
      </c>
      <c r="F81" s="22">
        <v>2</v>
      </c>
      <c r="G81" s="22"/>
      <c r="H81" s="22">
        <f t="shared" si="0"/>
        <v>0</v>
      </c>
      <c r="I81" s="22">
        <f t="shared" si="1"/>
        <v>0</v>
      </c>
      <c r="J81" s="22">
        <f t="shared" si="2"/>
        <v>0</v>
      </c>
      <c r="K81" s="22">
        <v>0.01508</v>
      </c>
      <c r="L81" s="22">
        <f t="shared" si="3"/>
        <v>0.03016</v>
      </c>
      <c r="M81" s="36"/>
      <c r="N81" s="38"/>
      <c r="Z81" s="40">
        <f t="shared" si="4"/>
        <v>0</v>
      </c>
      <c r="AB81" s="40">
        <f t="shared" si="5"/>
        <v>0</v>
      </c>
      <c r="AC81" s="40">
        <f t="shared" si="6"/>
        <v>0</v>
      </c>
      <c r="AD81" s="40">
        <f t="shared" si="7"/>
        <v>0</v>
      </c>
      <c r="AE81" s="40">
        <f t="shared" si="8"/>
        <v>0</v>
      </c>
      <c r="AF81" s="40">
        <f t="shared" si="9"/>
        <v>0</v>
      </c>
      <c r="AG81" s="40">
        <f t="shared" si="10"/>
        <v>0</v>
      </c>
      <c r="AH81" s="40">
        <f t="shared" si="11"/>
        <v>0</v>
      </c>
      <c r="AI81" s="30"/>
      <c r="AJ81" s="22">
        <f t="shared" si="12"/>
        <v>0</v>
      </c>
      <c r="AK81" s="22">
        <f t="shared" si="13"/>
        <v>0</v>
      </c>
      <c r="AL81" s="22">
        <f t="shared" si="14"/>
        <v>0</v>
      </c>
      <c r="AN81" s="40">
        <v>15</v>
      </c>
      <c r="AO81" s="40">
        <f t="shared" si="15"/>
        <v>0</v>
      </c>
      <c r="AP81" s="40">
        <f t="shared" si="16"/>
        <v>0</v>
      </c>
      <c r="AQ81" s="42" t="s">
        <v>254</v>
      </c>
      <c r="AV81" s="40">
        <f t="shared" si="17"/>
        <v>0</v>
      </c>
      <c r="AW81" s="40">
        <f t="shared" si="18"/>
        <v>0</v>
      </c>
      <c r="AX81" s="40">
        <f t="shared" si="19"/>
        <v>0</v>
      </c>
      <c r="AY81" s="43" t="s">
        <v>273</v>
      </c>
      <c r="AZ81" s="43" t="s">
        <v>283</v>
      </c>
      <c r="BA81" s="30" t="s">
        <v>284</v>
      </c>
      <c r="BC81" s="40">
        <f t="shared" si="20"/>
        <v>0</v>
      </c>
      <c r="BD81" s="40">
        <f t="shared" si="21"/>
        <v>0</v>
      </c>
      <c r="BE81" s="40">
        <v>0</v>
      </c>
      <c r="BF81" s="40">
        <f t="shared" si="22"/>
        <v>0.03016</v>
      </c>
      <c r="BH81" s="22">
        <f t="shared" si="23"/>
        <v>0</v>
      </c>
      <c r="BI81" s="22">
        <f t="shared" si="24"/>
        <v>0</v>
      </c>
      <c r="BJ81" s="22">
        <f t="shared" si="25"/>
        <v>0</v>
      </c>
      <c r="BK81" s="22" t="s">
        <v>290</v>
      </c>
      <c r="BL81" s="40"/>
    </row>
    <row r="82" spans="1:64" ht="12.75">
      <c r="A82" s="6" t="s">
        <v>58</v>
      </c>
      <c r="B82" s="15"/>
      <c r="C82" s="15" t="s">
        <v>134</v>
      </c>
      <c r="D82" s="15" t="s">
        <v>211</v>
      </c>
      <c r="E82" s="15" t="s">
        <v>225</v>
      </c>
      <c r="F82" s="22">
        <v>1</v>
      </c>
      <c r="G82" s="22"/>
      <c r="H82" s="22">
        <f t="shared" si="0"/>
        <v>0</v>
      </c>
      <c r="I82" s="22">
        <f t="shared" si="1"/>
        <v>0</v>
      </c>
      <c r="J82" s="22">
        <f t="shared" si="2"/>
        <v>0</v>
      </c>
      <c r="K82" s="22">
        <v>0.0443</v>
      </c>
      <c r="L82" s="22">
        <f t="shared" si="3"/>
        <v>0.0443</v>
      </c>
      <c r="M82" s="36"/>
      <c r="N82" s="38"/>
      <c r="Z82" s="40">
        <f t="shared" si="4"/>
        <v>0</v>
      </c>
      <c r="AB82" s="40">
        <f t="shared" si="5"/>
        <v>0</v>
      </c>
      <c r="AC82" s="40">
        <f t="shared" si="6"/>
        <v>0</v>
      </c>
      <c r="AD82" s="40">
        <f t="shared" si="7"/>
        <v>0</v>
      </c>
      <c r="AE82" s="40">
        <f t="shared" si="8"/>
        <v>0</v>
      </c>
      <c r="AF82" s="40">
        <f t="shared" si="9"/>
        <v>0</v>
      </c>
      <c r="AG82" s="40">
        <f t="shared" si="10"/>
        <v>0</v>
      </c>
      <c r="AH82" s="40">
        <f t="shared" si="11"/>
        <v>0</v>
      </c>
      <c r="AI82" s="30"/>
      <c r="AJ82" s="22">
        <f t="shared" si="12"/>
        <v>0</v>
      </c>
      <c r="AK82" s="22">
        <f t="shared" si="13"/>
        <v>0</v>
      </c>
      <c r="AL82" s="22">
        <f t="shared" si="14"/>
        <v>0</v>
      </c>
      <c r="AN82" s="40">
        <v>15</v>
      </c>
      <c r="AO82" s="40">
        <f t="shared" si="15"/>
        <v>0</v>
      </c>
      <c r="AP82" s="40">
        <f t="shared" si="16"/>
        <v>0</v>
      </c>
      <c r="AQ82" s="42" t="s">
        <v>254</v>
      </c>
      <c r="AV82" s="40">
        <f t="shared" si="17"/>
        <v>0</v>
      </c>
      <c r="AW82" s="40">
        <f t="shared" si="18"/>
        <v>0</v>
      </c>
      <c r="AX82" s="40">
        <f t="shared" si="19"/>
        <v>0</v>
      </c>
      <c r="AY82" s="43" t="s">
        <v>273</v>
      </c>
      <c r="AZ82" s="43" t="s">
        <v>283</v>
      </c>
      <c r="BA82" s="30" t="s">
        <v>284</v>
      </c>
      <c r="BC82" s="40">
        <f t="shared" si="20"/>
        <v>0</v>
      </c>
      <c r="BD82" s="40">
        <f t="shared" si="21"/>
        <v>0</v>
      </c>
      <c r="BE82" s="40">
        <v>0</v>
      </c>
      <c r="BF82" s="40">
        <f t="shared" si="22"/>
        <v>0.0443</v>
      </c>
      <c r="BH82" s="22">
        <f t="shared" si="23"/>
        <v>0</v>
      </c>
      <c r="BI82" s="22">
        <f t="shared" si="24"/>
        <v>0</v>
      </c>
      <c r="BJ82" s="22">
        <f t="shared" si="25"/>
        <v>0</v>
      </c>
      <c r="BK82" s="22" t="s">
        <v>290</v>
      </c>
      <c r="BL82" s="40"/>
    </row>
    <row r="83" spans="1:64" ht="12.75">
      <c r="A83" s="6" t="s">
        <v>59</v>
      </c>
      <c r="B83" s="15"/>
      <c r="C83" s="15" t="s">
        <v>134</v>
      </c>
      <c r="D83" s="15" t="s">
        <v>212</v>
      </c>
      <c r="E83" s="15" t="s">
        <v>225</v>
      </c>
      <c r="F83" s="22">
        <v>1</v>
      </c>
      <c r="G83" s="22"/>
      <c r="H83" s="22">
        <f t="shared" si="0"/>
        <v>0</v>
      </c>
      <c r="I83" s="22">
        <f t="shared" si="1"/>
        <v>0</v>
      </c>
      <c r="J83" s="22">
        <f t="shared" si="2"/>
        <v>0</v>
      </c>
      <c r="K83" s="22">
        <v>0.0443</v>
      </c>
      <c r="L83" s="22">
        <f t="shared" si="3"/>
        <v>0.0443</v>
      </c>
      <c r="M83" s="36"/>
      <c r="N83" s="38"/>
      <c r="Z83" s="40">
        <f t="shared" si="4"/>
        <v>0</v>
      </c>
      <c r="AB83" s="40">
        <f t="shared" si="5"/>
        <v>0</v>
      </c>
      <c r="AC83" s="40">
        <f t="shared" si="6"/>
        <v>0</v>
      </c>
      <c r="AD83" s="40">
        <f t="shared" si="7"/>
        <v>0</v>
      </c>
      <c r="AE83" s="40">
        <f t="shared" si="8"/>
        <v>0</v>
      </c>
      <c r="AF83" s="40">
        <f t="shared" si="9"/>
        <v>0</v>
      </c>
      <c r="AG83" s="40">
        <f t="shared" si="10"/>
        <v>0</v>
      </c>
      <c r="AH83" s="40">
        <f t="shared" si="11"/>
        <v>0</v>
      </c>
      <c r="AI83" s="30"/>
      <c r="AJ83" s="22">
        <f t="shared" si="12"/>
        <v>0</v>
      </c>
      <c r="AK83" s="22">
        <f t="shared" si="13"/>
        <v>0</v>
      </c>
      <c r="AL83" s="22">
        <f t="shared" si="14"/>
        <v>0</v>
      </c>
      <c r="AN83" s="40">
        <v>15</v>
      </c>
      <c r="AO83" s="40">
        <f t="shared" si="15"/>
        <v>0</v>
      </c>
      <c r="AP83" s="40">
        <f t="shared" si="16"/>
        <v>0</v>
      </c>
      <c r="AQ83" s="42" t="s">
        <v>254</v>
      </c>
      <c r="AV83" s="40">
        <f t="shared" si="17"/>
        <v>0</v>
      </c>
      <c r="AW83" s="40">
        <f t="shared" si="18"/>
        <v>0</v>
      </c>
      <c r="AX83" s="40">
        <f t="shared" si="19"/>
        <v>0</v>
      </c>
      <c r="AY83" s="43" t="s">
        <v>273</v>
      </c>
      <c r="AZ83" s="43" t="s">
        <v>283</v>
      </c>
      <c r="BA83" s="30" t="s">
        <v>284</v>
      </c>
      <c r="BC83" s="40">
        <f t="shared" si="20"/>
        <v>0</v>
      </c>
      <c r="BD83" s="40">
        <f t="shared" si="21"/>
        <v>0</v>
      </c>
      <c r="BE83" s="40">
        <v>0</v>
      </c>
      <c r="BF83" s="40">
        <f t="shared" si="22"/>
        <v>0.0443</v>
      </c>
      <c r="BH83" s="22">
        <f t="shared" si="23"/>
        <v>0</v>
      </c>
      <c r="BI83" s="22">
        <f t="shared" si="24"/>
        <v>0</v>
      </c>
      <c r="BJ83" s="22">
        <f t="shared" si="25"/>
        <v>0</v>
      </c>
      <c r="BK83" s="22" t="s">
        <v>290</v>
      </c>
      <c r="BL83" s="40"/>
    </row>
    <row r="84" spans="1:64" ht="12.75">
      <c r="A84" s="6" t="s">
        <v>60</v>
      </c>
      <c r="B84" s="15"/>
      <c r="C84" s="15" t="s">
        <v>135</v>
      </c>
      <c r="D84" s="15" t="s">
        <v>213</v>
      </c>
      <c r="E84" s="15" t="s">
        <v>225</v>
      </c>
      <c r="F84" s="22">
        <v>1</v>
      </c>
      <c r="G84" s="22"/>
      <c r="H84" s="22">
        <f t="shared" si="0"/>
        <v>0</v>
      </c>
      <c r="I84" s="22">
        <f t="shared" si="1"/>
        <v>0</v>
      </c>
      <c r="J84" s="22">
        <f t="shared" si="2"/>
        <v>0</v>
      </c>
      <c r="K84" s="22">
        <v>0.04</v>
      </c>
      <c r="L84" s="22">
        <f t="shared" si="3"/>
        <v>0.04</v>
      </c>
      <c r="M84" s="36"/>
      <c r="N84" s="38"/>
      <c r="Z84" s="40">
        <f t="shared" si="4"/>
        <v>0</v>
      </c>
      <c r="AB84" s="40">
        <f t="shared" si="5"/>
        <v>0</v>
      </c>
      <c r="AC84" s="40">
        <f t="shared" si="6"/>
        <v>0</v>
      </c>
      <c r="AD84" s="40">
        <f t="shared" si="7"/>
        <v>0</v>
      </c>
      <c r="AE84" s="40">
        <f t="shared" si="8"/>
        <v>0</v>
      </c>
      <c r="AF84" s="40">
        <f t="shared" si="9"/>
        <v>0</v>
      </c>
      <c r="AG84" s="40">
        <f t="shared" si="10"/>
        <v>0</v>
      </c>
      <c r="AH84" s="40">
        <f t="shared" si="11"/>
        <v>0</v>
      </c>
      <c r="AI84" s="30"/>
      <c r="AJ84" s="22">
        <f t="shared" si="12"/>
        <v>0</v>
      </c>
      <c r="AK84" s="22">
        <f t="shared" si="13"/>
        <v>0</v>
      </c>
      <c r="AL84" s="22">
        <f t="shared" si="14"/>
        <v>0</v>
      </c>
      <c r="AN84" s="40">
        <v>15</v>
      </c>
      <c r="AO84" s="40">
        <f t="shared" si="15"/>
        <v>0</v>
      </c>
      <c r="AP84" s="40">
        <f t="shared" si="16"/>
        <v>0</v>
      </c>
      <c r="AQ84" s="42" t="s">
        <v>254</v>
      </c>
      <c r="AV84" s="40">
        <f t="shared" si="17"/>
        <v>0</v>
      </c>
      <c r="AW84" s="40">
        <f t="shared" si="18"/>
        <v>0</v>
      </c>
      <c r="AX84" s="40">
        <f t="shared" si="19"/>
        <v>0</v>
      </c>
      <c r="AY84" s="43" t="s">
        <v>273</v>
      </c>
      <c r="AZ84" s="43" t="s">
        <v>283</v>
      </c>
      <c r="BA84" s="30" t="s">
        <v>284</v>
      </c>
      <c r="BC84" s="40">
        <f t="shared" si="20"/>
        <v>0</v>
      </c>
      <c r="BD84" s="40">
        <f t="shared" si="21"/>
        <v>0</v>
      </c>
      <c r="BE84" s="40">
        <v>0</v>
      </c>
      <c r="BF84" s="40">
        <f t="shared" si="22"/>
        <v>0.04</v>
      </c>
      <c r="BH84" s="22">
        <f t="shared" si="23"/>
        <v>0</v>
      </c>
      <c r="BI84" s="22">
        <f t="shared" si="24"/>
        <v>0</v>
      </c>
      <c r="BJ84" s="22">
        <f t="shared" si="25"/>
        <v>0</v>
      </c>
      <c r="BK84" s="22" t="s">
        <v>290</v>
      </c>
      <c r="BL84" s="40"/>
    </row>
    <row r="85" spans="1:64" ht="12.75">
      <c r="A85" s="6" t="s">
        <v>61</v>
      </c>
      <c r="B85" s="15"/>
      <c r="C85" s="15" t="s">
        <v>136</v>
      </c>
      <c r="D85" s="15" t="s">
        <v>214</v>
      </c>
      <c r="E85" s="15" t="s">
        <v>225</v>
      </c>
      <c r="F85" s="22">
        <v>1</v>
      </c>
      <c r="G85" s="22"/>
      <c r="H85" s="22">
        <f t="shared" si="0"/>
        <v>0</v>
      </c>
      <c r="I85" s="22">
        <f t="shared" si="1"/>
        <v>0</v>
      </c>
      <c r="J85" s="22">
        <f t="shared" si="2"/>
        <v>0</v>
      </c>
      <c r="K85" s="22">
        <v>0.0032</v>
      </c>
      <c r="L85" s="22">
        <f t="shared" si="3"/>
        <v>0.0032</v>
      </c>
      <c r="M85" s="36"/>
      <c r="N85" s="38"/>
      <c r="Z85" s="40">
        <f t="shared" si="4"/>
        <v>0</v>
      </c>
      <c r="AB85" s="40">
        <f t="shared" si="5"/>
        <v>0</v>
      </c>
      <c r="AC85" s="40">
        <f t="shared" si="6"/>
        <v>0</v>
      </c>
      <c r="AD85" s="40">
        <f t="shared" si="7"/>
        <v>0</v>
      </c>
      <c r="AE85" s="40">
        <f t="shared" si="8"/>
        <v>0</v>
      </c>
      <c r="AF85" s="40">
        <f t="shared" si="9"/>
        <v>0</v>
      </c>
      <c r="AG85" s="40">
        <f t="shared" si="10"/>
        <v>0</v>
      </c>
      <c r="AH85" s="40">
        <f t="shared" si="11"/>
        <v>0</v>
      </c>
      <c r="AI85" s="30"/>
      <c r="AJ85" s="22">
        <f t="shared" si="12"/>
        <v>0</v>
      </c>
      <c r="AK85" s="22">
        <f t="shared" si="13"/>
        <v>0</v>
      </c>
      <c r="AL85" s="22">
        <f t="shared" si="14"/>
        <v>0</v>
      </c>
      <c r="AN85" s="40">
        <v>15</v>
      </c>
      <c r="AO85" s="40">
        <f t="shared" si="15"/>
        <v>0</v>
      </c>
      <c r="AP85" s="40">
        <f t="shared" si="16"/>
        <v>0</v>
      </c>
      <c r="AQ85" s="42" t="s">
        <v>254</v>
      </c>
      <c r="AV85" s="40">
        <f t="shared" si="17"/>
        <v>0</v>
      </c>
      <c r="AW85" s="40">
        <f t="shared" si="18"/>
        <v>0</v>
      </c>
      <c r="AX85" s="40">
        <f t="shared" si="19"/>
        <v>0</v>
      </c>
      <c r="AY85" s="43" t="s">
        <v>273</v>
      </c>
      <c r="AZ85" s="43" t="s">
        <v>283</v>
      </c>
      <c r="BA85" s="30" t="s">
        <v>284</v>
      </c>
      <c r="BC85" s="40">
        <f t="shared" si="20"/>
        <v>0</v>
      </c>
      <c r="BD85" s="40">
        <f t="shared" si="21"/>
        <v>0</v>
      </c>
      <c r="BE85" s="40">
        <v>0</v>
      </c>
      <c r="BF85" s="40">
        <f t="shared" si="22"/>
        <v>0.0032</v>
      </c>
      <c r="BH85" s="22">
        <f t="shared" si="23"/>
        <v>0</v>
      </c>
      <c r="BI85" s="22">
        <f t="shared" si="24"/>
        <v>0</v>
      </c>
      <c r="BJ85" s="22">
        <f t="shared" si="25"/>
        <v>0</v>
      </c>
      <c r="BK85" s="22" t="s">
        <v>290</v>
      </c>
      <c r="BL85" s="40"/>
    </row>
    <row r="86" spans="1:64" ht="12.75">
      <c r="A86" s="7" t="s">
        <v>62</v>
      </c>
      <c r="B86" s="16"/>
      <c r="C86" s="16" t="s">
        <v>137</v>
      </c>
      <c r="D86" s="16" t="s">
        <v>215</v>
      </c>
      <c r="E86" s="16" t="s">
        <v>225</v>
      </c>
      <c r="F86" s="23">
        <v>1</v>
      </c>
      <c r="G86" s="23"/>
      <c r="H86" s="23">
        <f t="shared" si="0"/>
        <v>0</v>
      </c>
      <c r="I86" s="23">
        <f t="shared" si="1"/>
        <v>0</v>
      </c>
      <c r="J86" s="23">
        <f t="shared" si="2"/>
        <v>0</v>
      </c>
      <c r="K86" s="23">
        <v>0.0018</v>
      </c>
      <c r="L86" s="23">
        <f t="shared" si="3"/>
        <v>0.0018</v>
      </c>
      <c r="M86" s="37"/>
      <c r="N86" s="38"/>
      <c r="Z86" s="40">
        <f t="shared" si="4"/>
        <v>0</v>
      </c>
      <c r="AB86" s="40">
        <f t="shared" si="5"/>
        <v>0</v>
      </c>
      <c r="AC86" s="40">
        <f t="shared" si="6"/>
        <v>0</v>
      </c>
      <c r="AD86" s="40">
        <f t="shared" si="7"/>
        <v>0</v>
      </c>
      <c r="AE86" s="40">
        <f t="shared" si="8"/>
        <v>0</v>
      </c>
      <c r="AF86" s="40">
        <f t="shared" si="9"/>
        <v>0</v>
      </c>
      <c r="AG86" s="40">
        <f t="shared" si="10"/>
        <v>0</v>
      </c>
      <c r="AH86" s="40">
        <f t="shared" si="11"/>
        <v>0</v>
      </c>
      <c r="AI86" s="30"/>
      <c r="AJ86" s="22">
        <f t="shared" si="12"/>
        <v>0</v>
      </c>
      <c r="AK86" s="22">
        <f t="shared" si="13"/>
        <v>0</v>
      </c>
      <c r="AL86" s="22">
        <f t="shared" si="14"/>
        <v>0</v>
      </c>
      <c r="AN86" s="40">
        <v>15</v>
      </c>
      <c r="AO86" s="40">
        <f t="shared" si="15"/>
        <v>0</v>
      </c>
      <c r="AP86" s="40">
        <f t="shared" si="16"/>
        <v>0</v>
      </c>
      <c r="AQ86" s="42" t="s">
        <v>254</v>
      </c>
      <c r="AV86" s="40">
        <f t="shared" si="17"/>
        <v>0</v>
      </c>
      <c r="AW86" s="40">
        <f t="shared" si="18"/>
        <v>0</v>
      </c>
      <c r="AX86" s="40">
        <f t="shared" si="19"/>
        <v>0</v>
      </c>
      <c r="AY86" s="43" t="s">
        <v>273</v>
      </c>
      <c r="AZ86" s="43" t="s">
        <v>283</v>
      </c>
      <c r="BA86" s="30" t="s">
        <v>284</v>
      </c>
      <c r="BC86" s="40">
        <f t="shared" si="20"/>
        <v>0</v>
      </c>
      <c r="BD86" s="40">
        <f t="shared" si="21"/>
        <v>0</v>
      </c>
      <c r="BE86" s="40">
        <v>0</v>
      </c>
      <c r="BF86" s="40">
        <f t="shared" si="22"/>
        <v>0.0018</v>
      </c>
      <c r="BH86" s="22">
        <f t="shared" si="23"/>
        <v>0</v>
      </c>
      <c r="BI86" s="22">
        <f t="shared" si="24"/>
        <v>0</v>
      </c>
      <c r="BJ86" s="22">
        <f t="shared" si="25"/>
        <v>0</v>
      </c>
      <c r="BK86" s="22" t="s">
        <v>290</v>
      </c>
      <c r="BL86" s="40"/>
    </row>
    <row r="87" spans="1:13" ht="12.75">
      <c r="A87" s="8"/>
      <c r="B87" s="8"/>
      <c r="C87" s="8"/>
      <c r="D87" s="8"/>
      <c r="E87" s="8"/>
      <c r="F87" s="8"/>
      <c r="G87" s="8"/>
      <c r="H87" s="117" t="s">
        <v>235</v>
      </c>
      <c r="I87" s="118"/>
      <c r="J87" s="47">
        <f>J12+J14+J17+J21+J25+J29+J34+J36+J38+J40+J45+J47+J51+J55+J60+J63+J65+J67+J72</f>
        <v>0</v>
      </c>
      <c r="K87" s="8"/>
      <c r="L87" s="8"/>
      <c r="M87" s="8"/>
    </row>
    <row r="88" ht="11.25" customHeight="1">
      <c r="A88" s="9" t="s">
        <v>63</v>
      </c>
    </row>
    <row r="89" spans="1:13" ht="12.75">
      <c r="A89" s="112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</sheetData>
  <sheetProtection/>
  <mergeCells count="29">
    <mergeCell ref="H10:J10"/>
    <mergeCell ref="K10:L10"/>
    <mergeCell ref="H87:I87"/>
    <mergeCell ref="A89:M89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2" sqref="C2:D3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99" t="s">
        <v>292</v>
      </c>
      <c r="B1" s="100"/>
      <c r="C1" s="100"/>
      <c r="D1" s="100"/>
      <c r="E1" s="100"/>
      <c r="F1" s="100"/>
      <c r="G1" s="100"/>
      <c r="H1" s="100"/>
    </row>
    <row r="2" spans="1:9" ht="12.75">
      <c r="A2" s="101" t="s">
        <v>1</v>
      </c>
      <c r="B2" s="102"/>
      <c r="C2" s="105">
        <f>'Stavební rozpočet'!D2</f>
        <v>0</v>
      </c>
      <c r="D2" s="118"/>
      <c r="E2" s="108" t="s">
        <v>229</v>
      </c>
      <c r="F2" s="108" t="str">
        <f>'Stavební rozpočet'!I2</f>
        <v>Obec Horní Dvořiště</v>
      </c>
      <c r="G2" s="102"/>
      <c r="H2" s="109"/>
      <c r="I2" s="38"/>
    </row>
    <row r="3" spans="1:9" ht="12.75">
      <c r="A3" s="103"/>
      <c r="B3" s="104"/>
      <c r="C3" s="106"/>
      <c r="D3" s="106"/>
      <c r="E3" s="104"/>
      <c r="F3" s="104"/>
      <c r="G3" s="104"/>
      <c r="H3" s="110"/>
      <c r="I3" s="38"/>
    </row>
    <row r="4" spans="1:9" ht="12.75">
      <c r="A4" s="111" t="s">
        <v>2</v>
      </c>
      <c r="B4" s="104"/>
      <c r="C4" s="112" t="str">
        <f>'Stavební rozpočet'!D4</f>
        <v> </v>
      </c>
      <c r="D4" s="104"/>
      <c r="E4" s="112" t="s">
        <v>230</v>
      </c>
      <c r="F4" s="112" t="str">
        <f>'Stavební rozpočet'!I4</f>
        <v> </v>
      </c>
      <c r="G4" s="104"/>
      <c r="H4" s="110"/>
      <c r="I4" s="38"/>
    </row>
    <row r="5" spans="1:9" ht="12.75">
      <c r="A5" s="103"/>
      <c r="B5" s="104"/>
      <c r="C5" s="104"/>
      <c r="D5" s="104"/>
      <c r="E5" s="104"/>
      <c r="F5" s="104"/>
      <c r="G5" s="104"/>
      <c r="H5" s="110"/>
      <c r="I5" s="38"/>
    </row>
    <row r="6" spans="1:9" ht="12.75">
      <c r="A6" s="111" t="s">
        <v>3</v>
      </c>
      <c r="B6" s="104"/>
      <c r="C6" s="112" t="str">
        <f>'Stavební rozpočet'!D6</f>
        <v>Horní Dvořiště</v>
      </c>
      <c r="D6" s="104"/>
      <c r="E6" s="112" t="s">
        <v>231</v>
      </c>
      <c r="F6" s="112"/>
      <c r="G6" s="104"/>
      <c r="H6" s="110"/>
      <c r="I6" s="38"/>
    </row>
    <row r="7" spans="1:9" ht="12.75">
      <c r="A7" s="103"/>
      <c r="B7" s="104"/>
      <c r="C7" s="104"/>
      <c r="D7" s="104"/>
      <c r="E7" s="104"/>
      <c r="F7" s="104"/>
      <c r="G7" s="104"/>
      <c r="H7" s="110"/>
      <c r="I7" s="38"/>
    </row>
    <row r="8" spans="1:9" ht="12.75">
      <c r="A8" s="111" t="s">
        <v>232</v>
      </c>
      <c r="B8" s="104"/>
      <c r="C8" s="112"/>
      <c r="D8" s="104"/>
      <c r="E8" s="112" t="s">
        <v>219</v>
      </c>
      <c r="F8" s="112"/>
      <c r="G8" s="104"/>
      <c r="H8" s="110"/>
      <c r="I8" s="38"/>
    </row>
    <row r="9" spans="1:9" ht="12.75">
      <c r="A9" s="119"/>
      <c r="B9" s="120"/>
      <c r="C9" s="120"/>
      <c r="D9" s="120"/>
      <c r="E9" s="120"/>
      <c r="F9" s="120"/>
      <c r="G9" s="120"/>
      <c r="H9" s="121"/>
      <c r="I9" s="38"/>
    </row>
    <row r="10" spans="1:9" ht="12.75">
      <c r="A10" s="48" t="s">
        <v>5</v>
      </c>
      <c r="B10" s="49" t="s">
        <v>64</v>
      </c>
      <c r="C10" s="49" t="s">
        <v>65</v>
      </c>
      <c r="D10" s="122" t="s">
        <v>139</v>
      </c>
      <c r="E10" s="123"/>
      <c r="F10" s="49" t="s">
        <v>220</v>
      </c>
      <c r="G10" s="50" t="s">
        <v>226</v>
      </c>
      <c r="H10" s="51" t="s">
        <v>293</v>
      </c>
      <c r="I10" s="39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63</v>
      </c>
    </row>
    <row r="13" spans="1:7" ht="12.75">
      <c r="A13" s="112"/>
      <c r="B13" s="104"/>
      <c r="C13" s="104"/>
      <c r="D13" s="104"/>
      <c r="E13" s="104"/>
      <c r="F13" s="104"/>
      <c r="G13" s="104"/>
    </row>
  </sheetData>
  <sheetProtection/>
  <mergeCells count="19"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8" sqref="G8:H9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99" t="s">
        <v>294</v>
      </c>
      <c r="B1" s="100"/>
      <c r="C1" s="100"/>
      <c r="D1" s="100"/>
      <c r="E1" s="100"/>
      <c r="F1" s="100"/>
      <c r="G1" s="100"/>
      <c r="H1" s="100"/>
    </row>
    <row r="2" spans="1:9" ht="12.75">
      <c r="A2" s="101" t="s">
        <v>1</v>
      </c>
      <c r="B2" s="105"/>
      <c r="C2" s="107" t="s">
        <v>216</v>
      </c>
      <c r="D2" s="108" t="str">
        <f>'Stavební rozpočet'!G2</f>
        <v> </v>
      </c>
      <c r="E2" s="102"/>
      <c r="F2" s="108" t="s">
        <v>229</v>
      </c>
      <c r="G2" s="108" t="str">
        <f>'Stavební rozpočet'!I2</f>
        <v>Obec Horní Dvořiště</v>
      </c>
      <c r="H2" s="109"/>
      <c r="I2" s="38"/>
    </row>
    <row r="3" spans="1:9" ht="12.75">
      <c r="A3" s="103"/>
      <c r="B3" s="106"/>
      <c r="C3" s="104"/>
      <c r="D3" s="104"/>
      <c r="E3" s="104"/>
      <c r="F3" s="104"/>
      <c r="G3" s="104"/>
      <c r="H3" s="110"/>
      <c r="I3" s="38"/>
    </row>
    <row r="4" spans="1:9" ht="12.75">
      <c r="A4" s="111" t="s">
        <v>2</v>
      </c>
      <c r="B4" s="112" t="str">
        <f>'Stavební rozpočet'!D4</f>
        <v> </v>
      </c>
      <c r="C4" s="113" t="s">
        <v>217</v>
      </c>
      <c r="D4" s="112"/>
      <c r="E4" s="104"/>
      <c r="F4" s="112" t="s">
        <v>230</v>
      </c>
      <c r="G4" s="112" t="str">
        <f>'Stavební rozpočet'!I4</f>
        <v> </v>
      </c>
      <c r="H4" s="110"/>
      <c r="I4" s="38"/>
    </row>
    <row r="5" spans="1:9" ht="12.75">
      <c r="A5" s="103"/>
      <c r="B5" s="104"/>
      <c r="C5" s="104"/>
      <c r="D5" s="104"/>
      <c r="E5" s="104"/>
      <c r="F5" s="104"/>
      <c r="G5" s="104"/>
      <c r="H5" s="110"/>
      <c r="I5" s="38"/>
    </row>
    <row r="6" spans="1:9" ht="12.75">
      <c r="A6" s="111" t="s">
        <v>3</v>
      </c>
      <c r="B6" s="112" t="str">
        <f>'Stavební rozpočet'!D6</f>
        <v>Horní Dvořiště</v>
      </c>
      <c r="C6" s="113" t="s">
        <v>218</v>
      </c>
      <c r="D6" s="112" t="str">
        <f>'Stavební rozpočet'!G6</f>
        <v> </v>
      </c>
      <c r="E6" s="104"/>
      <c r="F6" s="112" t="s">
        <v>231</v>
      </c>
      <c r="G6" s="112"/>
      <c r="H6" s="110"/>
      <c r="I6" s="38"/>
    </row>
    <row r="7" spans="1:9" ht="12.75">
      <c r="A7" s="103"/>
      <c r="B7" s="104"/>
      <c r="C7" s="104"/>
      <c r="D7" s="104"/>
      <c r="E7" s="104"/>
      <c r="F7" s="104"/>
      <c r="G7" s="104"/>
      <c r="H7" s="110"/>
      <c r="I7" s="38"/>
    </row>
    <row r="8" spans="1:9" ht="12.75">
      <c r="A8" s="111" t="s">
        <v>4</v>
      </c>
      <c r="B8" s="112" t="str">
        <f>'Stavební rozpočet'!D8</f>
        <v> </v>
      </c>
      <c r="C8" s="113" t="s">
        <v>219</v>
      </c>
      <c r="D8" s="112"/>
      <c r="E8" s="104"/>
      <c r="F8" s="112" t="s">
        <v>232</v>
      </c>
      <c r="G8" s="112"/>
      <c r="H8" s="110"/>
      <c r="I8" s="38"/>
    </row>
    <row r="9" spans="1:9" ht="12.75">
      <c r="A9" s="127"/>
      <c r="B9" s="128"/>
      <c r="C9" s="128"/>
      <c r="D9" s="128"/>
      <c r="E9" s="128"/>
      <c r="F9" s="128"/>
      <c r="G9" s="128"/>
      <c r="H9" s="129"/>
      <c r="I9" s="38"/>
    </row>
    <row r="10" spans="1:9" ht="12.75">
      <c r="A10" s="52" t="s">
        <v>65</v>
      </c>
      <c r="B10" s="54" t="s">
        <v>139</v>
      </c>
      <c r="C10" s="56" t="s">
        <v>295</v>
      </c>
      <c r="D10" s="56" t="s">
        <v>296</v>
      </c>
      <c r="E10" s="56" t="s">
        <v>297</v>
      </c>
      <c r="F10" s="124" t="s">
        <v>298</v>
      </c>
      <c r="G10" s="125"/>
      <c r="H10" s="126"/>
      <c r="I10" s="39"/>
    </row>
    <row r="11" spans="1:8" ht="11.25" customHeight="1">
      <c r="A11" s="53" t="s">
        <v>63</v>
      </c>
      <c r="B11" s="55"/>
      <c r="C11" s="55"/>
      <c r="D11" s="55"/>
      <c r="E11" s="55"/>
      <c r="F11" s="55"/>
      <c r="G11" s="55"/>
      <c r="H11" s="55"/>
    </row>
    <row r="12" spans="1:8" ht="12.75">
      <c r="A12" s="112"/>
      <c r="B12" s="104"/>
      <c r="C12" s="104"/>
      <c r="D12" s="104"/>
      <c r="E12" s="104"/>
      <c r="F12" s="104"/>
      <c r="G12" s="104"/>
      <c r="H12" s="104"/>
    </row>
  </sheetData>
  <sheetProtection/>
  <mergeCells count="27">
    <mergeCell ref="F10:H10"/>
    <mergeCell ref="A12:H12"/>
    <mergeCell ref="A8:A9"/>
    <mergeCell ref="B8:B9"/>
    <mergeCell ref="C8:C9"/>
    <mergeCell ref="D8:E9"/>
    <mergeCell ref="F8:F9"/>
    <mergeCell ref="G8:H9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F4:F5"/>
    <mergeCell ref="G4:H5"/>
    <mergeCell ref="A1:H1"/>
    <mergeCell ref="A2:A3"/>
    <mergeCell ref="B2:B3"/>
    <mergeCell ref="C2:C3"/>
    <mergeCell ref="D2:E3"/>
    <mergeCell ref="F2:F3"/>
    <mergeCell ref="G2:H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4"/>
  <sheetViews>
    <sheetView zoomScalePageLayoutView="0" workbookViewId="0" topLeftCell="A1">
      <pane ySplit="10" topLeftCell="A71" activePane="bottomLeft" state="frozen"/>
      <selection pane="topLeft" activeCell="A1" sqref="A1"/>
      <selection pane="bottomLeft" activeCell="A92" sqref="A92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99" t="s">
        <v>299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6" ht="12.75">
      <c r="A2" s="101" t="s">
        <v>1</v>
      </c>
      <c r="B2" s="105"/>
      <c r="C2" s="118"/>
      <c r="D2" s="118"/>
      <c r="E2" s="107" t="s">
        <v>216</v>
      </c>
      <c r="F2" s="108" t="str">
        <f>'Stavební rozpočet'!G2</f>
        <v> </v>
      </c>
      <c r="G2" s="108" t="s">
        <v>229</v>
      </c>
      <c r="H2" s="108" t="str">
        <f>'Stavební rozpočet'!I2</f>
        <v>Obec Horní Dvořiště</v>
      </c>
      <c r="I2" s="102"/>
      <c r="J2" s="102"/>
      <c r="K2" s="102"/>
      <c r="L2" s="102"/>
      <c r="M2" s="102"/>
      <c r="N2" s="102"/>
      <c r="O2" s="109"/>
      <c r="P2" s="38"/>
    </row>
    <row r="3" spans="1:16" ht="12.75">
      <c r="A3" s="103"/>
      <c r="B3" s="106"/>
      <c r="C3" s="106"/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10"/>
      <c r="P3" s="38"/>
    </row>
    <row r="4" spans="1:16" ht="12.75">
      <c r="A4" s="111" t="s">
        <v>2</v>
      </c>
      <c r="B4" s="112" t="str">
        <f>'Stavební rozpočet'!D4</f>
        <v> </v>
      </c>
      <c r="C4" s="104"/>
      <c r="D4" s="104"/>
      <c r="E4" s="113" t="s">
        <v>217</v>
      </c>
      <c r="F4" s="112"/>
      <c r="G4" s="112" t="s">
        <v>230</v>
      </c>
      <c r="H4" s="112" t="str">
        <f>'Stavební rozpočet'!I4</f>
        <v> </v>
      </c>
      <c r="I4" s="104"/>
      <c r="J4" s="104"/>
      <c r="K4" s="104"/>
      <c r="L4" s="104"/>
      <c r="M4" s="104"/>
      <c r="N4" s="104"/>
      <c r="O4" s="110"/>
      <c r="P4" s="38"/>
    </row>
    <row r="5" spans="1:16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10"/>
      <c r="P5" s="38"/>
    </row>
    <row r="6" spans="1:16" ht="12.75">
      <c r="A6" s="111" t="s">
        <v>3</v>
      </c>
      <c r="B6" s="112" t="str">
        <f>'Stavební rozpočet'!D6</f>
        <v>Horní Dvořiště</v>
      </c>
      <c r="C6" s="104"/>
      <c r="D6" s="104"/>
      <c r="E6" s="113" t="s">
        <v>218</v>
      </c>
      <c r="F6" s="112" t="str">
        <f>'Stavební rozpočet'!G6</f>
        <v> </v>
      </c>
      <c r="G6" s="112" t="s">
        <v>231</v>
      </c>
      <c r="H6" s="112"/>
      <c r="I6" s="104"/>
      <c r="J6" s="104"/>
      <c r="K6" s="104"/>
      <c r="L6" s="104"/>
      <c r="M6" s="104"/>
      <c r="N6" s="104"/>
      <c r="O6" s="110"/>
      <c r="P6" s="38"/>
    </row>
    <row r="7" spans="1:16" ht="12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10"/>
      <c r="P7" s="38"/>
    </row>
    <row r="8" spans="1:16" ht="12.75">
      <c r="A8" s="111" t="s">
        <v>4</v>
      </c>
      <c r="B8" s="112" t="str">
        <f>'Stavební rozpočet'!D8</f>
        <v> </v>
      </c>
      <c r="C8" s="104"/>
      <c r="D8" s="104"/>
      <c r="E8" s="113" t="s">
        <v>219</v>
      </c>
      <c r="F8" s="112"/>
      <c r="G8" s="112" t="s">
        <v>232</v>
      </c>
      <c r="H8" s="112"/>
      <c r="I8" s="104"/>
      <c r="J8" s="104"/>
      <c r="K8" s="104"/>
      <c r="L8" s="104"/>
      <c r="M8" s="104"/>
      <c r="N8" s="104"/>
      <c r="O8" s="110"/>
      <c r="P8" s="38"/>
    </row>
    <row r="9" spans="1:16" ht="12.7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38"/>
    </row>
    <row r="10" spans="1:16" ht="12.75">
      <c r="A10" s="57" t="s">
        <v>5</v>
      </c>
      <c r="B10" s="57" t="s">
        <v>64</v>
      </c>
      <c r="C10" s="60" t="s">
        <v>65</v>
      </c>
      <c r="D10" s="130" t="s">
        <v>139</v>
      </c>
      <c r="E10" s="131"/>
      <c r="F10" s="61" t="s">
        <v>300</v>
      </c>
      <c r="G10" s="61" t="s">
        <v>301</v>
      </c>
      <c r="H10" s="61" t="s">
        <v>302</v>
      </c>
      <c r="I10" s="61" t="s">
        <v>303</v>
      </c>
      <c r="J10" s="61" t="s">
        <v>226</v>
      </c>
      <c r="K10" s="61" t="s">
        <v>304</v>
      </c>
      <c r="L10" s="62" t="s">
        <v>305</v>
      </c>
      <c r="M10" s="66" t="s">
        <v>306</v>
      </c>
      <c r="N10" s="61" t="s">
        <v>307</v>
      </c>
      <c r="O10" s="62" t="s">
        <v>308</v>
      </c>
      <c r="P10" s="39"/>
    </row>
    <row r="11" spans="1:31" ht="12.75">
      <c r="A11" s="58"/>
      <c r="B11" s="12"/>
      <c r="C11" s="12" t="s">
        <v>34</v>
      </c>
      <c r="D11" s="132" t="s">
        <v>141</v>
      </c>
      <c r="E11" s="133"/>
      <c r="F11" s="45">
        <f>SUM(F12:F12)</f>
        <v>0</v>
      </c>
      <c r="G11" s="45">
        <f>SUM(G12:G12)</f>
        <v>0</v>
      </c>
      <c r="H11" s="45">
        <f aca="true" t="shared" si="0" ref="H11:H42">G11-F11</f>
        <v>0</v>
      </c>
      <c r="I11" s="45">
        <f aca="true" t="shared" si="1" ref="I11:I42">IF(F11=0,0,H11/F11*100)</f>
        <v>0</v>
      </c>
      <c r="J11" s="45">
        <f>SUM(J12:J12)</f>
        <v>10</v>
      </c>
      <c r="K11" s="45">
        <f>SUM(K12:K12)</f>
        <v>0</v>
      </c>
      <c r="L11" s="67">
        <f>J11-K11</f>
        <v>10</v>
      </c>
      <c r="M11" s="69" t="str">
        <f aca="true" t="shared" si="2" ref="M11:M42">IF(G11=0,"Nefakturováno",AE11)</f>
        <v>Nefakturováno</v>
      </c>
      <c r="N11" s="45">
        <f aca="true" t="shared" si="3" ref="N11:N42">AE11-G11</f>
        <v>0</v>
      </c>
      <c r="O11" s="74">
        <f aca="true" t="shared" si="4" ref="O11:O42">IF(G11&lt;&gt;0,N11/G11*100,-100)</f>
        <v>-100</v>
      </c>
      <c r="P11" s="38"/>
      <c r="AE11" s="40">
        <v>0</v>
      </c>
    </row>
    <row r="12" spans="1:31" ht="12.75">
      <c r="A12" s="4" t="s">
        <v>7</v>
      </c>
      <c r="B12" s="13"/>
      <c r="C12" s="13" t="s">
        <v>66</v>
      </c>
      <c r="D12" s="134" t="s">
        <v>142</v>
      </c>
      <c r="E12" s="135"/>
      <c r="F12" s="21">
        <f>'Stavební rozpočet'!J13</f>
        <v>0</v>
      </c>
      <c r="G12" s="21">
        <v>0</v>
      </c>
      <c r="H12" s="21">
        <f t="shared" si="0"/>
        <v>0</v>
      </c>
      <c r="I12" s="21">
        <f t="shared" si="1"/>
        <v>0</v>
      </c>
      <c r="J12" s="21">
        <f>'Stavební rozpočet'!F13</f>
        <v>10</v>
      </c>
      <c r="K12" s="21">
        <v>0</v>
      </c>
      <c r="L12" s="63">
        <v>10</v>
      </c>
      <c r="M12" s="70" t="str">
        <f t="shared" si="2"/>
        <v>Nefakturováno</v>
      </c>
      <c r="N12" s="21">
        <f t="shared" si="3"/>
        <v>0</v>
      </c>
      <c r="O12" s="75">
        <f t="shared" si="4"/>
        <v>-100</v>
      </c>
      <c r="P12" s="38"/>
      <c r="AE12" s="21">
        <v>0</v>
      </c>
    </row>
    <row r="13" spans="1:31" ht="12.75">
      <c r="A13" s="59"/>
      <c r="B13" s="14"/>
      <c r="C13" s="14" t="s">
        <v>67</v>
      </c>
      <c r="D13" s="136" t="s">
        <v>143</v>
      </c>
      <c r="E13" s="137"/>
      <c r="F13" s="46">
        <f>SUM(F14:F15)</f>
        <v>0</v>
      </c>
      <c r="G13" s="46">
        <f>SUM(G14:G15)</f>
        <v>0</v>
      </c>
      <c r="H13" s="46">
        <f t="shared" si="0"/>
        <v>0</v>
      </c>
      <c r="I13" s="46">
        <f t="shared" si="1"/>
        <v>0</v>
      </c>
      <c r="J13" s="46">
        <f>SUM(J14:J15)</f>
        <v>162</v>
      </c>
      <c r="K13" s="46">
        <f>SUM(K14:K15)</f>
        <v>0</v>
      </c>
      <c r="L13" s="68">
        <f>J13-K13</f>
        <v>162</v>
      </c>
      <c r="M13" s="71" t="str">
        <f t="shared" si="2"/>
        <v>Nefakturováno</v>
      </c>
      <c r="N13" s="46">
        <f t="shared" si="3"/>
        <v>0</v>
      </c>
      <c r="O13" s="76">
        <f t="shared" si="4"/>
        <v>-100</v>
      </c>
      <c r="P13" s="38"/>
      <c r="AE13" s="21">
        <v>0</v>
      </c>
    </row>
    <row r="14" spans="1:31" ht="12.75">
      <c r="A14" s="4" t="s">
        <v>8</v>
      </c>
      <c r="B14" s="13"/>
      <c r="C14" s="13" t="s">
        <v>68</v>
      </c>
      <c r="D14" s="134" t="s">
        <v>144</v>
      </c>
      <c r="E14" s="135"/>
      <c r="F14" s="21">
        <f>'Stavební rozpočet'!J15</f>
        <v>0</v>
      </c>
      <c r="G14" s="21">
        <v>0</v>
      </c>
      <c r="H14" s="21">
        <f t="shared" si="0"/>
        <v>0</v>
      </c>
      <c r="I14" s="21">
        <f t="shared" si="1"/>
        <v>0</v>
      </c>
      <c r="J14" s="21">
        <f>'Stavební rozpočet'!F15</f>
        <v>10</v>
      </c>
      <c r="K14" s="21">
        <v>0</v>
      </c>
      <c r="L14" s="63">
        <v>10</v>
      </c>
      <c r="M14" s="70" t="str">
        <f t="shared" si="2"/>
        <v>Nefakturováno</v>
      </c>
      <c r="N14" s="21">
        <f t="shared" si="3"/>
        <v>0</v>
      </c>
      <c r="O14" s="75">
        <f t="shared" si="4"/>
        <v>-100</v>
      </c>
      <c r="P14" s="38"/>
      <c r="AE14" s="21">
        <v>0</v>
      </c>
    </row>
    <row r="15" spans="1:31" ht="12.75">
      <c r="A15" s="4" t="s">
        <v>9</v>
      </c>
      <c r="B15" s="13"/>
      <c r="C15" s="13" t="s">
        <v>69</v>
      </c>
      <c r="D15" s="134" t="s">
        <v>145</v>
      </c>
      <c r="E15" s="135"/>
      <c r="F15" s="21">
        <f>'Stavební rozpočet'!J16</f>
        <v>0</v>
      </c>
      <c r="G15" s="21">
        <v>0</v>
      </c>
      <c r="H15" s="21">
        <f t="shared" si="0"/>
        <v>0</v>
      </c>
      <c r="I15" s="21">
        <f t="shared" si="1"/>
        <v>0</v>
      </c>
      <c r="J15" s="21">
        <f>'Stavební rozpočet'!F16</f>
        <v>152</v>
      </c>
      <c r="K15" s="21">
        <v>0</v>
      </c>
      <c r="L15" s="63">
        <v>152</v>
      </c>
      <c r="M15" s="70" t="str">
        <f t="shared" si="2"/>
        <v>Nefakturováno</v>
      </c>
      <c r="N15" s="21">
        <f t="shared" si="3"/>
        <v>0</v>
      </c>
      <c r="O15" s="75">
        <f t="shared" si="4"/>
        <v>-100</v>
      </c>
      <c r="P15" s="38"/>
      <c r="AE15" s="21">
        <v>0</v>
      </c>
    </row>
    <row r="16" spans="1:31" ht="12.75">
      <c r="A16" s="59"/>
      <c r="B16" s="14"/>
      <c r="C16" s="14" t="s">
        <v>70</v>
      </c>
      <c r="D16" s="136" t="s">
        <v>146</v>
      </c>
      <c r="E16" s="137"/>
      <c r="F16" s="46">
        <f>SUM(F17:F19)</f>
        <v>0</v>
      </c>
      <c r="G16" s="46">
        <f>SUM(G17:G19)</f>
        <v>0</v>
      </c>
      <c r="H16" s="46">
        <f t="shared" si="0"/>
        <v>0</v>
      </c>
      <c r="I16" s="46">
        <f t="shared" si="1"/>
        <v>0</v>
      </c>
      <c r="J16" s="46">
        <f>SUM(J17:J19)</f>
        <v>106.4</v>
      </c>
      <c r="K16" s="46">
        <f>SUM(K17:K19)</f>
        <v>0</v>
      </c>
      <c r="L16" s="68">
        <f>J16-K16</f>
        <v>106.4</v>
      </c>
      <c r="M16" s="71" t="str">
        <f t="shared" si="2"/>
        <v>Nefakturováno</v>
      </c>
      <c r="N16" s="46">
        <f t="shared" si="3"/>
        <v>0</v>
      </c>
      <c r="O16" s="76">
        <f t="shared" si="4"/>
        <v>-100</v>
      </c>
      <c r="P16" s="38"/>
      <c r="AE16" s="21">
        <v>0</v>
      </c>
    </row>
    <row r="17" spans="1:31" ht="12.75">
      <c r="A17" s="4" t="s">
        <v>10</v>
      </c>
      <c r="B17" s="13"/>
      <c r="C17" s="13" t="s">
        <v>71</v>
      </c>
      <c r="D17" s="134" t="s">
        <v>147</v>
      </c>
      <c r="E17" s="135"/>
      <c r="F17" s="21">
        <f>'Stavební rozpočet'!J18</f>
        <v>0</v>
      </c>
      <c r="G17" s="21">
        <v>0</v>
      </c>
      <c r="H17" s="21">
        <f t="shared" si="0"/>
        <v>0</v>
      </c>
      <c r="I17" s="21">
        <f t="shared" si="1"/>
        <v>0</v>
      </c>
      <c r="J17" s="21">
        <f>'Stavební rozpočet'!F18</f>
        <v>6.4</v>
      </c>
      <c r="K17" s="21">
        <v>0</v>
      </c>
      <c r="L17" s="63">
        <v>6.4</v>
      </c>
      <c r="M17" s="70" t="str">
        <f t="shared" si="2"/>
        <v>Nefakturováno</v>
      </c>
      <c r="N17" s="21">
        <f t="shared" si="3"/>
        <v>0</v>
      </c>
      <c r="O17" s="75">
        <f t="shared" si="4"/>
        <v>-100</v>
      </c>
      <c r="P17" s="38"/>
      <c r="AE17" s="21">
        <v>0</v>
      </c>
    </row>
    <row r="18" spans="1:31" ht="12.75">
      <c r="A18" s="4" t="s">
        <v>11</v>
      </c>
      <c r="B18" s="13"/>
      <c r="C18" s="13" t="s">
        <v>72</v>
      </c>
      <c r="D18" s="134" t="s">
        <v>148</v>
      </c>
      <c r="E18" s="135"/>
      <c r="F18" s="21">
        <f>'Stavební rozpočet'!J19</f>
        <v>0</v>
      </c>
      <c r="G18" s="21">
        <v>0</v>
      </c>
      <c r="H18" s="21">
        <f t="shared" si="0"/>
        <v>0</v>
      </c>
      <c r="I18" s="21">
        <f t="shared" si="1"/>
        <v>0</v>
      </c>
      <c r="J18" s="21">
        <f>'Stavební rozpočet'!F19</f>
        <v>65</v>
      </c>
      <c r="K18" s="21">
        <v>0</v>
      </c>
      <c r="L18" s="63">
        <v>65</v>
      </c>
      <c r="M18" s="70" t="str">
        <f t="shared" si="2"/>
        <v>Nefakturováno</v>
      </c>
      <c r="N18" s="21">
        <f t="shared" si="3"/>
        <v>0</v>
      </c>
      <c r="O18" s="75">
        <f t="shared" si="4"/>
        <v>-100</v>
      </c>
      <c r="P18" s="38"/>
      <c r="AE18" s="21">
        <v>0</v>
      </c>
    </row>
    <row r="19" spans="1:31" ht="12.75">
      <c r="A19" s="4" t="s">
        <v>12</v>
      </c>
      <c r="B19" s="13"/>
      <c r="C19" s="13" t="s">
        <v>73</v>
      </c>
      <c r="D19" s="134" t="s">
        <v>149</v>
      </c>
      <c r="E19" s="135"/>
      <c r="F19" s="21">
        <f>'Stavební rozpočet'!J20</f>
        <v>0</v>
      </c>
      <c r="G19" s="21">
        <v>0</v>
      </c>
      <c r="H19" s="21">
        <f t="shared" si="0"/>
        <v>0</v>
      </c>
      <c r="I19" s="21">
        <f t="shared" si="1"/>
        <v>0</v>
      </c>
      <c r="J19" s="21">
        <f>'Stavební rozpočet'!F20</f>
        <v>35</v>
      </c>
      <c r="K19" s="21">
        <v>0</v>
      </c>
      <c r="L19" s="63">
        <v>35</v>
      </c>
      <c r="M19" s="70" t="str">
        <f t="shared" si="2"/>
        <v>Nefakturováno</v>
      </c>
      <c r="N19" s="21">
        <f t="shared" si="3"/>
        <v>0</v>
      </c>
      <c r="O19" s="75">
        <f t="shared" si="4"/>
        <v>-100</v>
      </c>
      <c r="P19" s="38"/>
      <c r="AE19" s="21">
        <v>0</v>
      </c>
    </row>
    <row r="20" spans="1:31" ht="12.75">
      <c r="A20" s="59"/>
      <c r="B20" s="14"/>
      <c r="C20" s="14" t="s">
        <v>74</v>
      </c>
      <c r="D20" s="136" t="s">
        <v>150</v>
      </c>
      <c r="E20" s="137"/>
      <c r="F20" s="46">
        <f>SUM(F21:F23)</f>
        <v>0</v>
      </c>
      <c r="G20" s="46">
        <f>SUM(G21:G23)</f>
        <v>0</v>
      </c>
      <c r="H20" s="46">
        <f t="shared" si="0"/>
        <v>0</v>
      </c>
      <c r="I20" s="46">
        <f t="shared" si="1"/>
        <v>0</v>
      </c>
      <c r="J20" s="46">
        <f>SUM(J21:J23)</f>
        <v>16.5</v>
      </c>
      <c r="K20" s="46">
        <f>SUM(K21:K23)</f>
        <v>0</v>
      </c>
      <c r="L20" s="68">
        <f>J20-K20</f>
        <v>16.5</v>
      </c>
      <c r="M20" s="71" t="str">
        <f t="shared" si="2"/>
        <v>Nefakturováno</v>
      </c>
      <c r="N20" s="46">
        <f t="shared" si="3"/>
        <v>0</v>
      </c>
      <c r="O20" s="76">
        <f t="shared" si="4"/>
        <v>-100</v>
      </c>
      <c r="P20" s="38"/>
      <c r="AE20" s="21">
        <v>0</v>
      </c>
    </row>
    <row r="21" spans="1:31" ht="12.75">
      <c r="A21" s="4" t="s">
        <v>13</v>
      </c>
      <c r="B21" s="13"/>
      <c r="C21" s="13" t="s">
        <v>75</v>
      </c>
      <c r="D21" s="134" t="s">
        <v>151</v>
      </c>
      <c r="E21" s="135"/>
      <c r="F21" s="21">
        <f>'Stavební rozpočet'!J22</f>
        <v>0</v>
      </c>
      <c r="G21" s="21">
        <v>0</v>
      </c>
      <c r="H21" s="21">
        <f t="shared" si="0"/>
        <v>0</v>
      </c>
      <c r="I21" s="21">
        <f t="shared" si="1"/>
        <v>0</v>
      </c>
      <c r="J21" s="21">
        <f>'Stavební rozpočet'!F22</f>
        <v>1</v>
      </c>
      <c r="K21" s="21">
        <v>0</v>
      </c>
      <c r="L21" s="63">
        <v>1</v>
      </c>
      <c r="M21" s="70" t="str">
        <f t="shared" si="2"/>
        <v>Nefakturováno</v>
      </c>
      <c r="N21" s="21">
        <f t="shared" si="3"/>
        <v>0</v>
      </c>
      <c r="O21" s="75">
        <f t="shared" si="4"/>
        <v>-100</v>
      </c>
      <c r="P21" s="38"/>
      <c r="AE21" s="21">
        <v>0</v>
      </c>
    </row>
    <row r="22" spans="1:31" ht="12.75">
      <c r="A22" s="4" t="s">
        <v>14</v>
      </c>
      <c r="B22" s="13"/>
      <c r="C22" s="13" t="s">
        <v>76</v>
      </c>
      <c r="D22" s="134" t="s">
        <v>152</v>
      </c>
      <c r="E22" s="135"/>
      <c r="F22" s="21">
        <f>'Stavební rozpočet'!J23</f>
        <v>0</v>
      </c>
      <c r="G22" s="21">
        <v>0</v>
      </c>
      <c r="H22" s="21">
        <f t="shared" si="0"/>
        <v>0</v>
      </c>
      <c r="I22" s="21">
        <f t="shared" si="1"/>
        <v>0</v>
      </c>
      <c r="J22" s="21">
        <f>'Stavební rozpočet'!F23</f>
        <v>14.5</v>
      </c>
      <c r="K22" s="21">
        <v>0</v>
      </c>
      <c r="L22" s="63">
        <v>14.5</v>
      </c>
      <c r="M22" s="70" t="str">
        <f t="shared" si="2"/>
        <v>Nefakturováno</v>
      </c>
      <c r="N22" s="21">
        <f t="shared" si="3"/>
        <v>0</v>
      </c>
      <c r="O22" s="75">
        <f t="shared" si="4"/>
        <v>-100</v>
      </c>
      <c r="P22" s="38"/>
      <c r="AE22" s="21">
        <v>0</v>
      </c>
    </row>
    <row r="23" spans="1:31" ht="12.75">
      <c r="A23" s="4" t="s">
        <v>15</v>
      </c>
      <c r="B23" s="13"/>
      <c r="C23" s="13" t="s">
        <v>77</v>
      </c>
      <c r="D23" s="134" t="s">
        <v>153</v>
      </c>
      <c r="E23" s="135"/>
      <c r="F23" s="21">
        <f>'Stavební rozpočet'!J24</f>
        <v>0</v>
      </c>
      <c r="G23" s="21">
        <v>0</v>
      </c>
      <c r="H23" s="21">
        <f t="shared" si="0"/>
        <v>0</v>
      </c>
      <c r="I23" s="21">
        <f t="shared" si="1"/>
        <v>0</v>
      </c>
      <c r="J23" s="21">
        <f>'Stavební rozpočet'!F24</f>
        <v>1</v>
      </c>
      <c r="K23" s="21">
        <v>0</v>
      </c>
      <c r="L23" s="63">
        <v>1</v>
      </c>
      <c r="M23" s="70" t="str">
        <f t="shared" si="2"/>
        <v>Nefakturováno</v>
      </c>
      <c r="N23" s="21">
        <f t="shared" si="3"/>
        <v>0</v>
      </c>
      <c r="O23" s="75">
        <f t="shared" si="4"/>
        <v>-100</v>
      </c>
      <c r="P23" s="38"/>
      <c r="AE23" s="21">
        <v>0</v>
      </c>
    </row>
    <row r="24" spans="1:31" ht="12.75">
      <c r="A24" s="59"/>
      <c r="B24" s="14"/>
      <c r="C24" s="14" t="s">
        <v>78</v>
      </c>
      <c r="D24" s="136" t="s">
        <v>154</v>
      </c>
      <c r="E24" s="137"/>
      <c r="F24" s="46">
        <f>SUM(F25:F27)</f>
        <v>0</v>
      </c>
      <c r="G24" s="46">
        <f>SUM(G25:G27)</f>
        <v>0</v>
      </c>
      <c r="H24" s="46">
        <f t="shared" si="0"/>
        <v>0</v>
      </c>
      <c r="I24" s="46">
        <f t="shared" si="1"/>
        <v>0</v>
      </c>
      <c r="J24" s="46">
        <f>SUM(J25:J27)</f>
        <v>51.4</v>
      </c>
      <c r="K24" s="46">
        <f>SUM(K25:K27)</f>
        <v>0</v>
      </c>
      <c r="L24" s="68">
        <f>J24-K24</f>
        <v>51.4</v>
      </c>
      <c r="M24" s="71" t="str">
        <f t="shared" si="2"/>
        <v>Nefakturováno</v>
      </c>
      <c r="N24" s="46">
        <f t="shared" si="3"/>
        <v>0</v>
      </c>
      <c r="O24" s="76">
        <f t="shared" si="4"/>
        <v>-100</v>
      </c>
      <c r="P24" s="38"/>
      <c r="AE24" s="21">
        <v>0</v>
      </c>
    </row>
    <row r="25" spans="1:31" ht="12.75">
      <c r="A25" s="4" t="s">
        <v>16</v>
      </c>
      <c r="B25" s="13"/>
      <c r="C25" s="13" t="s">
        <v>79</v>
      </c>
      <c r="D25" s="134" t="s">
        <v>155</v>
      </c>
      <c r="E25" s="135"/>
      <c r="F25" s="21">
        <f>'Stavební rozpočet'!J26</f>
        <v>0</v>
      </c>
      <c r="G25" s="21">
        <v>0</v>
      </c>
      <c r="H25" s="21">
        <f t="shared" si="0"/>
        <v>0</v>
      </c>
      <c r="I25" s="21">
        <f t="shared" si="1"/>
        <v>0</v>
      </c>
      <c r="J25" s="21">
        <f>'Stavební rozpočet'!F26</f>
        <v>19.7</v>
      </c>
      <c r="K25" s="21">
        <v>0</v>
      </c>
      <c r="L25" s="63">
        <v>19.7</v>
      </c>
      <c r="M25" s="70" t="str">
        <f t="shared" si="2"/>
        <v>Nefakturováno</v>
      </c>
      <c r="N25" s="21">
        <f t="shared" si="3"/>
        <v>0</v>
      </c>
      <c r="O25" s="75">
        <f t="shared" si="4"/>
        <v>-100</v>
      </c>
      <c r="P25" s="38"/>
      <c r="AE25" s="21">
        <v>0</v>
      </c>
    </row>
    <row r="26" spans="1:31" ht="12.75">
      <c r="A26" s="4" t="s">
        <v>17</v>
      </c>
      <c r="B26" s="13"/>
      <c r="C26" s="13" t="s">
        <v>80</v>
      </c>
      <c r="D26" s="134" t="s">
        <v>156</v>
      </c>
      <c r="E26" s="135"/>
      <c r="F26" s="21">
        <f>'Stavební rozpočet'!J27</f>
        <v>0</v>
      </c>
      <c r="G26" s="21">
        <v>0</v>
      </c>
      <c r="H26" s="21">
        <f t="shared" si="0"/>
        <v>0</v>
      </c>
      <c r="I26" s="21">
        <f t="shared" si="1"/>
        <v>0</v>
      </c>
      <c r="J26" s="21">
        <f>'Stavební rozpočet'!F27</f>
        <v>19.7</v>
      </c>
      <c r="K26" s="21">
        <v>0</v>
      </c>
      <c r="L26" s="63">
        <v>19.7</v>
      </c>
      <c r="M26" s="70" t="str">
        <f t="shared" si="2"/>
        <v>Nefakturováno</v>
      </c>
      <c r="N26" s="21">
        <f t="shared" si="3"/>
        <v>0</v>
      </c>
      <c r="O26" s="75">
        <f t="shared" si="4"/>
        <v>-100</v>
      </c>
      <c r="P26" s="38"/>
      <c r="AE26" s="21">
        <v>0</v>
      </c>
    </row>
    <row r="27" spans="1:31" ht="12.75">
      <c r="A27" s="4" t="s">
        <v>18</v>
      </c>
      <c r="B27" s="13"/>
      <c r="C27" s="13" t="s">
        <v>81</v>
      </c>
      <c r="D27" s="134" t="s">
        <v>157</v>
      </c>
      <c r="E27" s="135"/>
      <c r="F27" s="21">
        <f>'Stavební rozpočet'!J28</f>
        <v>0</v>
      </c>
      <c r="G27" s="21">
        <v>0</v>
      </c>
      <c r="H27" s="21">
        <f t="shared" si="0"/>
        <v>0</v>
      </c>
      <c r="I27" s="21">
        <f t="shared" si="1"/>
        <v>0</v>
      </c>
      <c r="J27" s="21">
        <f>'Stavební rozpočet'!F28</f>
        <v>12</v>
      </c>
      <c r="K27" s="21">
        <v>0</v>
      </c>
      <c r="L27" s="63">
        <v>12</v>
      </c>
      <c r="M27" s="70" t="str">
        <f t="shared" si="2"/>
        <v>Nefakturováno</v>
      </c>
      <c r="N27" s="21">
        <f t="shared" si="3"/>
        <v>0</v>
      </c>
      <c r="O27" s="75">
        <f t="shared" si="4"/>
        <v>-100</v>
      </c>
      <c r="P27" s="38"/>
      <c r="AE27" s="21">
        <v>0</v>
      </c>
    </row>
    <row r="28" spans="1:31" ht="12.75">
      <c r="A28" s="59"/>
      <c r="B28" s="14"/>
      <c r="C28" s="14" t="s">
        <v>82</v>
      </c>
      <c r="D28" s="136" t="s">
        <v>158</v>
      </c>
      <c r="E28" s="137"/>
      <c r="F28" s="46">
        <f>SUM(F29:F32)</f>
        <v>0</v>
      </c>
      <c r="G28" s="46">
        <f>SUM(G29:G32)</f>
        <v>0</v>
      </c>
      <c r="H28" s="46">
        <f t="shared" si="0"/>
        <v>0</v>
      </c>
      <c r="I28" s="46">
        <f t="shared" si="1"/>
        <v>0</v>
      </c>
      <c r="J28" s="46">
        <f>SUM(J29:J32)</f>
        <v>4</v>
      </c>
      <c r="K28" s="46">
        <f>SUM(K29:K32)</f>
        <v>0</v>
      </c>
      <c r="L28" s="68">
        <f>J28-K28</f>
        <v>4</v>
      </c>
      <c r="M28" s="71" t="str">
        <f t="shared" si="2"/>
        <v>Nefakturováno</v>
      </c>
      <c r="N28" s="46">
        <f t="shared" si="3"/>
        <v>0</v>
      </c>
      <c r="O28" s="76">
        <f t="shared" si="4"/>
        <v>-100</v>
      </c>
      <c r="P28" s="38"/>
      <c r="AE28" s="21">
        <v>0</v>
      </c>
    </row>
    <row r="29" spans="1:31" ht="12.75">
      <c r="A29" s="4" t="s">
        <v>19</v>
      </c>
      <c r="B29" s="13"/>
      <c r="C29" s="13" t="s">
        <v>83</v>
      </c>
      <c r="D29" s="134" t="s">
        <v>159</v>
      </c>
      <c r="E29" s="135"/>
      <c r="F29" s="21">
        <f>'Stavební rozpočet'!J30</f>
        <v>0</v>
      </c>
      <c r="G29" s="21">
        <v>0</v>
      </c>
      <c r="H29" s="21">
        <f t="shared" si="0"/>
        <v>0</v>
      </c>
      <c r="I29" s="21">
        <f t="shared" si="1"/>
        <v>0</v>
      </c>
      <c r="J29" s="21">
        <f>'Stavební rozpočet'!F30</f>
        <v>1</v>
      </c>
      <c r="K29" s="21">
        <v>0</v>
      </c>
      <c r="L29" s="63">
        <v>1</v>
      </c>
      <c r="M29" s="70" t="str">
        <f t="shared" si="2"/>
        <v>Nefakturováno</v>
      </c>
      <c r="N29" s="21">
        <f t="shared" si="3"/>
        <v>0</v>
      </c>
      <c r="O29" s="75">
        <f t="shared" si="4"/>
        <v>-100</v>
      </c>
      <c r="P29" s="38"/>
      <c r="AE29" s="21">
        <v>0</v>
      </c>
    </row>
    <row r="30" spans="1:31" ht="12.75">
      <c r="A30" s="4" t="s">
        <v>20</v>
      </c>
      <c r="B30" s="13"/>
      <c r="C30" s="13" t="s">
        <v>84</v>
      </c>
      <c r="D30" s="134" t="s">
        <v>160</v>
      </c>
      <c r="E30" s="135"/>
      <c r="F30" s="21">
        <f>'Stavební rozpočet'!J31</f>
        <v>0</v>
      </c>
      <c r="G30" s="21">
        <v>0</v>
      </c>
      <c r="H30" s="21">
        <f t="shared" si="0"/>
        <v>0</v>
      </c>
      <c r="I30" s="21">
        <f t="shared" si="1"/>
        <v>0</v>
      </c>
      <c r="J30" s="21">
        <f>'Stavební rozpočet'!F31</f>
        <v>1</v>
      </c>
      <c r="K30" s="21">
        <v>0</v>
      </c>
      <c r="L30" s="63">
        <v>1</v>
      </c>
      <c r="M30" s="70" t="str">
        <f t="shared" si="2"/>
        <v>Nefakturováno</v>
      </c>
      <c r="N30" s="21">
        <f t="shared" si="3"/>
        <v>0</v>
      </c>
      <c r="O30" s="75">
        <f t="shared" si="4"/>
        <v>-100</v>
      </c>
      <c r="P30" s="38"/>
      <c r="AE30" s="21">
        <v>0</v>
      </c>
    </row>
    <row r="31" spans="1:31" ht="12.75">
      <c r="A31" s="4" t="s">
        <v>21</v>
      </c>
      <c r="B31" s="13"/>
      <c r="C31" s="13" t="s">
        <v>85</v>
      </c>
      <c r="D31" s="134" t="s">
        <v>161</v>
      </c>
      <c r="E31" s="135"/>
      <c r="F31" s="21">
        <f>'Stavební rozpočet'!J32</f>
        <v>0</v>
      </c>
      <c r="G31" s="21">
        <v>0</v>
      </c>
      <c r="H31" s="21">
        <f t="shared" si="0"/>
        <v>0</v>
      </c>
      <c r="I31" s="21">
        <f t="shared" si="1"/>
        <v>0</v>
      </c>
      <c r="J31" s="21">
        <f>'Stavební rozpočet'!F32</f>
        <v>1</v>
      </c>
      <c r="K31" s="21">
        <v>0</v>
      </c>
      <c r="L31" s="63">
        <v>1</v>
      </c>
      <c r="M31" s="70" t="str">
        <f t="shared" si="2"/>
        <v>Nefakturováno</v>
      </c>
      <c r="N31" s="21">
        <f t="shared" si="3"/>
        <v>0</v>
      </c>
      <c r="O31" s="75">
        <f t="shared" si="4"/>
        <v>-100</v>
      </c>
      <c r="P31" s="38"/>
      <c r="AE31" s="21">
        <v>0</v>
      </c>
    </row>
    <row r="32" spans="1:31" ht="12.75">
      <c r="A32" s="4" t="s">
        <v>22</v>
      </c>
      <c r="B32" s="13"/>
      <c r="C32" s="13" t="s">
        <v>86</v>
      </c>
      <c r="D32" s="134" t="s">
        <v>162</v>
      </c>
      <c r="E32" s="135"/>
      <c r="F32" s="21">
        <f>'Stavební rozpočet'!J33</f>
        <v>0</v>
      </c>
      <c r="G32" s="21">
        <v>0</v>
      </c>
      <c r="H32" s="21">
        <f t="shared" si="0"/>
        <v>0</v>
      </c>
      <c r="I32" s="21">
        <f t="shared" si="1"/>
        <v>0</v>
      </c>
      <c r="J32" s="21">
        <f>'Stavební rozpočet'!F33</f>
        <v>1</v>
      </c>
      <c r="K32" s="21">
        <v>0</v>
      </c>
      <c r="L32" s="63">
        <v>1</v>
      </c>
      <c r="M32" s="70" t="str">
        <f t="shared" si="2"/>
        <v>Nefakturováno</v>
      </c>
      <c r="N32" s="21">
        <f t="shared" si="3"/>
        <v>0</v>
      </c>
      <c r="O32" s="75">
        <f t="shared" si="4"/>
        <v>-100</v>
      </c>
      <c r="P32" s="38"/>
      <c r="AE32" s="21">
        <v>0</v>
      </c>
    </row>
    <row r="33" spans="1:31" ht="12.75">
      <c r="A33" s="59"/>
      <c r="B33" s="14"/>
      <c r="C33" s="14" t="s">
        <v>87</v>
      </c>
      <c r="D33" s="136" t="s">
        <v>163</v>
      </c>
      <c r="E33" s="137"/>
      <c r="F33" s="46">
        <f>SUM(F34:F34)</f>
        <v>0</v>
      </c>
      <c r="G33" s="46">
        <f>SUM(G34:G34)</f>
        <v>0</v>
      </c>
      <c r="H33" s="46">
        <f t="shared" si="0"/>
        <v>0</v>
      </c>
      <c r="I33" s="46">
        <f t="shared" si="1"/>
        <v>0</v>
      </c>
      <c r="J33" s="46">
        <f>SUM(J34:J34)</f>
        <v>1</v>
      </c>
      <c r="K33" s="46">
        <f>SUM(K34:K34)</f>
        <v>0</v>
      </c>
      <c r="L33" s="68">
        <f>J33-K33</f>
        <v>1</v>
      </c>
      <c r="M33" s="71" t="str">
        <f t="shared" si="2"/>
        <v>Nefakturováno</v>
      </c>
      <c r="N33" s="46">
        <f t="shared" si="3"/>
        <v>0</v>
      </c>
      <c r="O33" s="76">
        <f t="shared" si="4"/>
        <v>-100</v>
      </c>
      <c r="P33" s="38"/>
      <c r="AE33" s="21">
        <v>0</v>
      </c>
    </row>
    <row r="34" spans="1:31" ht="12.75">
      <c r="A34" s="4" t="s">
        <v>23</v>
      </c>
      <c r="B34" s="13"/>
      <c r="C34" s="13" t="s">
        <v>88</v>
      </c>
      <c r="D34" s="134" t="s">
        <v>164</v>
      </c>
      <c r="E34" s="135"/>
      <c r="F34" s="21">
        <f>'Stavební rozpočet'!J35</f>
        <v>0</v>
      </c>
      <c r="G34" s="21">
        <v>0</v>
      </c>
      <c r="H34" s="21">
        <f t="shared" si="0"/>
        <v>0</v>
      </c>
      <c r="I34" s="21">
        <f t="shared" si="1"/>
        <v>0</v>
      </c>
      <c r="J34" s="21">
        <f>'Stavební rozpočet'!F35</f>
        <v>1</v>
      </c>
      <c r="K34" s="21">
        <v>0</v>
      </c>
      <c r="L34" s="63">
        <v>1</v>
      </c>
      <c r="M34" s="70" t="str">
        <f t="shared" si="2"/>
        <v>Nefakturováno</v>
      </c>
      <c r="N34" s="21">
        <f t="shared" si="3"/>
        <v>0</v>
      </c>
      <c r="O34" s="75">
        <f t="shared" si="4"/>
        <v>-100</v>
      </c>
      <c r="P34" s="38"/>
      <c r="AE34" s="21">
        <v>0</v>
      </c>
    </row>
    <row r="35" spans="1:31" ht="12.75">
      <c r="A35" s="59"/>
      <c r="B35" s="14"/>
      <c r="C35" s="14" t="s">
        <v>89</v>
      </c>
      <c r="D35" s="136" t="s">
        <v>165</v>
      </c>
      <c r="E35" s="137"/>
      <c r="F35" s="46">
        <f>SUM(F36:F36)</f>
        <v>0</v>
      </c>
      <c r="G35" s="46">
        <f>SUM(G36:G36)</f>
        <v>0</v>
      </c>
      <c r="H35" s="46">
        <f t="shared" si="0"/>
        <v>0</v>
      </c>
      <c r="I35" s="46">
        <f t="shared" si="1"/>
        <v>0</v>
      </c>
      <c r="J35" s="46">
        <f>SUM(J36:J36)</f>
        <v>5</v>
      </c>
      <c r="K35" s="46">
        <f>SUM(K36:K36)</f>
        <v>0</v>
      </c>
      <c r="L35" s="68">
        <f>J35-K35</f>
        <v>5</v>
      </c>
      <c r="M35" s="71" t="str">
        <f t="shared" si="2"/>
        <v>Nefakturováno</v>
      </c>
      <c r="N35" s="46">
        <f t="shared" si="3"/>
        <v>0</v>
      </c>
      <c r="O35" s="76">
        <f t="shared" si="4"/>
        <v>-100</v>
      </c>
      <c r="P35" s="38"/>
      <c r="AE35" s="21">
        <v>0</v>
      </c>
    </row>
    <row r="36" spans="1:31" ht="12.75">
      <c r="A36" s="4" t="s">
        <v>24</v>
      </c>
      <c r="B36" s="13"/>
      <c r="C36" s="13" t="s">
        <v>90</v>
      </c>
      <c r="D36" s="134" t="s">
        <v>166</v>
      </c>
      <c r="E36" s="135"/>
      <c r="F36" s="21">
        <f>'Stavební rozpočet'!J37</f>
        <v>0</v>
      </c>
      <c r="G36" s="21">
        <v>0</v>
      </c>
      <c r="H36" s="21">
        <f t="shared" si="0"/>
        <v>0</v>
      </c>
      <c r="I36" s="21">
        <f t="shared" si="1"/>
        <v>0</v>
      </c>
      <c r="J36" s="21">
        <f>'Stavební rozpočet'!F37</f>
        <v>5</v>
      </c>
      <c r="K36" s="21">
        <v>0</v>
      </c>
      <c r="L36" s="63">
        <v>5</v>
      </c>
      <c r="M36" s="70" t="str">
        <f t="shared" si="2"/>
        <v>Nefakturováno</v>
      </c>
      <c r="N36" s="21">
        <f t="shared" si="3"/>
        <v>0</v>
      </c>
      <c r="O36" s="75">
        <f t="shared" si="4"/>
        <v>-100</v>
      </c>
      <c r="P36" s="38"/>
      <c r="AE36" s="21">
        <v>0</v>
      </c>
    </row>
    <row r="37" spans="1:31" ht="12.75">
      <c r="A37" s="59"/>
      <c r="B37" s="14"/>
      <c r="C37" s="14" t="s">
        <v>91</v>
      </c>
      <c r="D37" s="136" t="s">
        <v>167</v>
      </c>
      <c r="E37" s="137"/>
      <c r="F37" s="46">
        <f>SUM(F38:F38)</f>
        <v>0</v>
      </c>
      <c r="G37" s="46">
        <f>SUM(G38:G38)</f>
        <v>0</v>
      </c>
      <c r="H37" s="46">
        <f t="shared" si="0"/>
        <v>0</v>
      </c>
      <c r="I37" s="46">
        <f t="shared" si="1"/>
        <v>0</v>
      </c>
      <c r="J37" s="46">
        <f>SUM(J38:J38)</f>
        <v>1</v>
      </c>
      <c r="K37" s="46">
        <f>SUM(K38:K38)</f>
        <v>0</v>
      </c>
      <c r="L37" s="68">
        <f>J37-K37</f>
        <v>1</v>
      </c>
      <c r="M37" s="71" t="str">
        <f t="shared" si="2"/>
        <v>Nefakturováno</v>
      </c>
      <c r="N37" s="46">
        <f t="shared" si="3"/>
        <v>0</v>
      </c>
      <c r="O37" s="76">
        <f t="shared" si="4"/>
        <v>-100</v>
      </c>
      <c r="P37" s="38"/>
      <c r="AE37" s="21">
        <v>0</v>
      </c>
    </row>
    <row r="38" spans="1:31" ht="12.75">
      <c r="A38" s="4" t="s">
        <v>25</v>
      </c>
      <c r="B38" s="13"/>
      <c r="C38" s="13" t="s">
        <v>92</v>
      </c>
      <c r="D38" s="134" t="s">
        <v>168</v>
      </c>
      <c r="E38" s="135"/>
      <c r="F38" s="21">
        <f>'Stavební rozpočet'!J39</f>
        <v>0</v>
      </c>
      <c r="G38" s="21">
        <v>0</v>
      </c>
      <c r="H38" s="21">
        <f t="shared" si="0"/>
        <v>0</v>
      </c>
      <c r="I38" s="21">
        <f t="shared" si="1"/>
        <v>0</v>
      </c>
      <c r="J38" s="21">
        <f>'Stavební rozpočet'!F39</f>
        <v>1</v>
      </c>
      <c r="K38" s="21">
        <v>0</v>
      </c>
      <c r="L38" s="63">
        <v>1</v>
      </c>
      <c r="M38" s="70" t="str">
        <f t="shared" si="2"/>
        <v>Nefakturováno</v>
      </c>
      <c r="N38" s="21">
        <f t="shared" si="3"/>
        <v>0</v>
      </c>
      <c r="O38" s="75">
        <f t="shared" si="4"/>
        <v>-100</v>
      </c>
      <c r="P38" s="38"/>
      <c r="AE38" s="21">
        <v>0</v>
      </c>
    </row>
    <row r="39" spans="1:31" ht="12.75">
      <c r="A39" s="59"/>
      <c r="B39" s="14"/>
      <c r="C39" s="14" t="s">
        <v>93</v>
      </c>
      <c r="D39" s="136" t="s">
        <v>169</v>
      </c>
      <c r="E39" s="137"/>
      <c r="F39" s="46">
        <f>SUM(F40:F43)</f>
        <v>0</v>
      </c>
      <c r="G39" s="46">
        <f>SUM(G40:G43)</f>
        <v>0</v>
      </c>
      <c r="H39" s="46">
        <f t="shared" si="0"/>
        <v>0</v>
      </c>
      <c r="I39" s="46">
        <f t="shared" si="1"/>
        <v>0</v>
      </c>
      <c r="J39" s="46">
        <f>SUM(J40:J43)</f>
        <v>19.2</v>
      </c>
      <c r="K39" s="46">
        <f>SUM(K40:K43)</f>
        <v>0</v>
      </c>
      <c r="L39" s="68">
        <f>J39-K39</f>
        <v>19.2</v>
      </c>
      <c r="M39" s="71" t="str">
        <f t="shared" si="2"/>
        <v>Nefakturováno</v>
      </c>
      <c r="N39" s="46">
        <f t="shared" si="3"/>
        <v>0</v>
      </c>
      <c r="O39" s="76">
        <f t="shared" si="4"/>
        <v>-100</v>
      </c>
      <c r="P39" s="38"/>
      <c r="AE39" s="21">
        <v>0</v>
      </c>
    </row>
    <row r="40" spans="1:31" ht="12.75">
      <c r="A40" s="4" t="s">
        <v>26</v>
      </c>
      <c r="B40" s="13"/>
      <c r="C40" s="13" t="s">
        <v>94</v>
      </c>
      <c r="D40" s="134" t="s">
        <v>170</v>
      </c>
      <c r="E40" s="135"/>
      <c r="F40" s="21">
        <f>'Stavební rozpočet'!J41</f>
        <v>0</v>
      </c>
      <c r="G40" s="21">
        <v>0</v>
      </c>
      <c r="H40" s="21">
        <f t="shared" si="0"/>
        <v>0</v>
      </c>
      <c r="I40" s="21">
        <f t="shared" si="1"/>
        <v>0</v>
      </c>
      <c r="J40" s="21">
        <f>'Stavební rozpočet'!F41</f>
        <v>7.5</v>
      </c>
      <c r="K40" s="21">
        <v>0</v>
      </c>
      <c r="L40" s="63">
        <v>7.5</v>
      </c>
      <c r="M40" s="70" t="str">
        <f t="shared" si="2"/>
        <v>Nefakturováno</v>
      </c>
      <c r="N40" s="21">
        <f t="shared" si="3"/>
        <v>0</v>
      </c>
      <c r="O40" s="75">
        <f t="shared" si="4"/>
        <v>-100</v>
      </c>
      <c r="P40" s="38"/>
      <c r="AE40" s="21">
        <v>0</v>
      </c>
    </row>
    <row r="41" spans="1:31" ht="12.75">
      <c r="A41" s="4" t="s">
        <v>27</v>
      </c>
      <c r="B41" s="13"/>
      <c r="C41" s="13" t="s">
        <v>95</v>
      </c>
      <c r="D41" s="134" t="s">
        <v>171</v>
      </c>
      <c r="E41" s="135"/>
      <c r="F41" s="21">
        <f>'Stavební rozpočet'!J42</f>
        <v>0</v>
      </c>
      <c r="G41" s="21">
        <v>0</v>
      </c>
      <c r="H41" s="21">
        <f t="shared" si="0"/>
        <v>0</v>
      </c>
      <c r="I41" s="21">
        <f t="shared" si="1"/>
        <v>0</v>
      </c>
      <c r="J41" s="21">
        <f>'Stavební rozpočet'!F42</f>
        <v>7.5</v>
      </c>
      <c r="K41" s="21">
        <v>0</v>
      </c>
      <c r="L41" s="63">
        <v>7.5</v>
      </c>
      <c r="M41" s="70" t="str">
        <f t="shared" si="2"/>
        <v>Nefakturováno</v>
      </c>
      <c r="N41" s="21">
        <f t="shared" si="3"/>
        <v>0</v>
      </c>
      <c r="O41" s="75">
        <f t="shared" si="4"/>
        <v>-100</v>
      </c>
      <c r="P41" s="38"/>
      <c r="AE41" s="21">
        <v>0</v>
      </c>
    </row>
    <row r="42" spans="1:31" ht="12.75">
      <c r="A42" s="4" t="s">
        <v>28</v>
      </c>
      <c r="B42" s="13"/>
      <c r="C42" s="13" t="s">
        <v>96</v>
      </c>
      <c r="D42" s="134" t="s">
        <v>172</v>
      </c>
      <c r="E42" s="135"/>
      <c r="F42" s="21">
        <f>'Stavební rozpočet'!J43</f>
        <v>0</v>
      </c>
      <c r="G42" s="21">
        <v>0</v>
      </c>
      <c r="H42" s="21">
        <f t="shared" si="0"/>
        <v>0</v>
      </c>
      <c r="I42" s="21">
        <f t="shared" si="1"/>
        <v>0</v>
      </c>
      <c r="J42" s="21">
        <f>'Stavební rozpočet'!F43</f>
        <v>1</v>
      </c>
      <c r="K42" s="21">
        <v>0</v>
      </c>
      <c r="L42" s="63">
        <v>1</v>
      </c>
      <c r="M42" s="70" t="str">
        <f t="shared" si="2"/>
        <v>Nefakturováno</v>
      </c>
      <c r="N42" s="21">
        <f t="shared" si="3"/>
        <v>0</v>
      </c>
      <c r="O42" s="75">
        <f t="shared" si="4"/>
        <v>-100</v>
      </c>
      <c r="P42" s="38"/>
      <c r="AE42" s="21">
        <v>0</v>
      </c>
    </row>
    <row r="43" spans="1:31" ht="12.75">
      <c r="A43" s="4" t="s">
        <v>29</v>
      </c>
      <c r="B43" s="13"/>
      <c r="C43" s="13" t="s">
        <v>97</v>
      </c>
      <c r="D43" s="134" t="s">
        <v>173</v>
      </c>
      <c r="E43" s="135"/>
      <c r="F43" s="21">
        <f>'Stavební rozpočet'!J44</f>
        <v>0</v>
      </c>
      <c r="G43" s="21">
        <v>0</v>
      </c>
      <c r="H43" s="21">
        <f aca="true" t="shared" si="5" ref="H43:H74">G43-F43</f>
        <v>0</v>
      </c>
      <c r="I43" s="21">
        <f aca="true" t="shared" si="6" ref="I43:I74">IF(F43=0,0,H43/F43*100)</f>
        <v>0</v>
      </c>
      <c r="J43" s="21">
        <f>'Stavební rozpočet'!F44</f>
        <v>3.2</v>
      </c>
      <c r="K43" s="21">
        <v>0</v>
      </c>
      <c r="L43" s="63">
        <v>3.2</v>
      </c>
      <c r="M43" s="70" t="str">
        <f aca="true" t="shared" si="7" ref="M43:M74">IF(G43=0,"Nefakturováno",AE43)</f>
        <v>Nefakturováno</v>
      </c>
      <c r="N43" s="21">
        <f aca="true" t="shared" si="8" ref="N43:N74">AE43-G43</f>
        <v>0</v>
      </c>
      <c r="O43" s="75">
        <f aca="true" t="shared" si="9" ref="O43:O74">IF(G43&lt;&gt;0,N43/G43*100,-100)</f>
        <v>-100</v>
      </c>
      <c r="P43" s="38"/>
      <c r="AE43" s="21">
        <v>0</v>
      </c>
    </row>
    <row r="44" spans="1:31" ht="12.75">
      <c r="A44" s="59"/>
      <c r="B44" s="14"/>
      <c r="C44" s="14" t="s">
        <v>98</v>
      </c>
      <c r="D44" s="136" t="s">
        <v>174</v>
      </c>
      <c r="E44" s="137"/>
      <c r="F44" s="46">
        <f>SUM(F45:F45)</f>
        <v>0</v>
      </c>
      <c r="G44" s="46">
        <f>SUM(G45:G45)</f>
        <v>0</v>
      </c>
      <c r="H44" s="46">
        <f t="shared" si="5"/>
        <v>0</v>
      </c>
      <c r="I44" s="46">
        <f t="shared" si="6"/>
        <v>0</v>
      </c>
      <c r="J44" s="46">
        <f>SUM(J45:J45)</f>
        <v>24.5</v>
      </c>
      <c r="K44" s="46">
        <f>SUM(K45:K45)</f>
        <v>0</v>
      </c>
      <c r="L44" s="68">
        <f>J44-K44</f>
        <v>24.5</v>
      </c>
      <c r="M44" s="71" t="str">
        <f t="shared" si="7"/>
        <v>Nefakturováno</v>
      </c>
      <c r="N44" s="46">
        <f t="shared" si="8"/>
        <v>0</v>
      </c>
      <c r="O44" s="76">
        <f t="shared" si="9"/>
        <v>-100</v>
      </c>
      <c r="P44" s="38"/>
      <c r="AE44" s="21">
        <v>0</v>
      </c>
    </row>
    <row r="45" spans="1:31" ht="12.75">
      <c r="A45" s="4" t="s">
        <v>30</v>
      </c>
      <c r="B45" s="13"/>
      <c r="C45" s="13" t="s">
        <v>99</v>
      </c>
      <c r="D45" s="134" t="s">
        <v>175</v>
      </c>
      <c r="E45" s="135"/>
      <c r="F45" s="21">
        <f>'Stavební rozpočet'!J46</f>
        <v>0</v>
      </c>
      <c r="G45" s="21">
        <v>0</v>
      </c>
      <c r="H45" s="21">
        <f t="shared" si="5"/>
        <v>0</v>
      </c>
      <c r="I45" s="21">
        <f t="shared" si="6"/>
        <v>0</v>
      </c>
      <c r="J45" s="21">
        <f>'Stavební rozpočet'!F46</f>
        <v>24.5</v>
      </c>
      <c r="K45" s="21">
        <v>0</v>
      </c>
      <c r="L45" s="63">
        <v>24.5</v>
      </c>
      <c r="M45" s="70" t="str">
        <f t="shared" si="7"/>
        <v>Nefakturováno</v>
      </c>
      <c r="N45" s="21">
        <f t="shared" si="8"/>
        <v>0</v>
      </c>
      <c r="O45" s="75">
        <f t="shared" si="9"/>
        <v>-100</v>
      </c>
      <c r="P45" s="38"/>
      <c r="AE45" s="21">
        <v>0</v>
      </c>
    </row>
    <row r="46" spans="1:31" ht="12.75">
      <c r="A46" s="59"/>
      <c r="B46" s="14"/>
      <c r="C46" s="14" t="s">
        <v>100</v>
      </c>
      <c r="D46" s="136" t="s">
        <v>176</v>
      </c>
      <c r="E46" s="137"/>
      <c r="F46" s="46">
        <f>SUM(F47:F49)</f>
        <v>0</v>
      </c>
      <c r="G46" s="46">
        <f>SUM(G47:G49)</f>
        <v>0</v>
      </c>
      <c r="H46" s="46">
        <f t="shared" si="5"/>
        <v>0</v>
      </c>
      <c r="I46" s="46">
        <f t="shared" si="6"/>
        <v>0</v>
      </c>
      <c r="J46" s="46">
        <f>SUM(J47:J49)</f>
        <v>57.8</v>
      </c>
      <c r="K46" s="46">
        <f>SUM(K47:K49)</f>
        <v>0</v>
      </c>
      <c r="L46" s="68">
        <f>J46-K46</f>
        <v>57.8</v>
      </c>
      <c r="M46" s="71" t="str">
        <f t="shared" si="7"/>
        <v>Nefakturováno</v>
      </c>
      <c r="N46" s="46">
        <f t="shared" si="8"/>
        <v>0</v>
      </c>
      <c r="O46" s="76">
        <f t="shared" si="9"/>
        <v>-100</v>
      </c>
      <c r="P46" s="38"/>
      <c r="AE46" s="21">
        <v>0</v>
      </c>
    </row>
    <row r="47" spans="1:31" ht="12.75">
      <c r="A47" s="4" t="s">
        <v>31</v>
      </c>
      <c r="B47" s="13"/>
      <c r="C47" s="13" t="s">
        <v>101</v>
      </c>
      <c r="D47" s="134" t="s">
        <v>177</v>
      </c>
      <c r="E47" s="135"/>
      <c r="F47" s="21">
        <f>'Stavební rozpočet'!J48</f>
        <v>0</v>
      </c>
      <c r="G47" s="21">
        <v>0</v>
      </c>
      <c r="H47" s="21">
        <f t="shared" si="5"/>
        <v>0</v>
      </c>
      <c r="I47" s="21">
        <f t="shared" si="6"/>
        <v>0</v>
      </c>
      <c r="J47" s="21">
        <f>'Stavební rozpočet'!F48</f>
        <v>26.4</v>
      </c>
      <c r="K47" s="21">
        <v>0</v>
      </c>
      <c r="L47" s="63">
        <v>26.4</v>
      </c>
      <c r="M47" s="70" t="str">
        <f t="shared" si="7"/>
        <v>Nefakturováno</v>
      </c>
      <c r="N47" s="21">
        <f t="shared" si="8"/>
        <v>0</v>
      </c>
      <c r="O47" s="75">
        <f t="shared" si="9"/>
        <v>-100</v>
      </c>
      <c r="P47" s="38"/>
      <c r="AE47" s="21">
        <v>0</v>
      </c>
    </row>
    <row r="48" spans="1:31" ht="12.75">
      <c r="A48" s="4" t="s">
        <v>32</v>
      </c>
      <c r="B48" s="13"/>
      <c r="C48" s="13" t="s">
        <v>102</v>
      </c>
      <c r="D48" s="134" t="s">
        <v>178</v>
      </c>
      <c r="E48" s="135"/>
      <c r="F48" s="21">
        <f>'Stavební rozpočet'!J49</f>
        <v>0</v>
      </c>
      <c r="G48" s="21">
        <v>0</v>
      </c>
      <c r="H48" s="21">
        <f t="shared" si="5"/>
        <v>0</v>
      </c>
      <c r="I48" s="21">
        <f t="shared" si="6"/>
        <v>0</v>
      </c>
      <c r="J48" s="21">
        <f>'Stavební rozpočet'!F49</f>
        <v>26.4</v>
      </c>
      <c r="K48" s="21">
        <v>0</v>
      </c>
      <c r="L48" s="63">
        <v>26.4</v>
      </c>
      <c r="M48" s="70" t="str">
        <f t="shared" si="7"/>
        <v>Nefakturováno</v>
      </c>
      <c r="N48" s="21">
        <f t="shared" si="8"/>
        <v>0</v>
      </c>
      <c r="O48" s="75">
        <f t="shared" si="9"/>
        <v>-100</v>
      </c>
      <c r="P48" s="38"/>
      <c r="AE48" s="21">
        <v>0</v>
      </c>
    </row>
    <row r="49" spans="1:31" ht="12.75">
      <c r="A49" s="4" t="s">
        <v>33</v>
      </c>
      <c r="B49" s="13"/>
      <c r="C49" s="13" t="s">
        <v>103</v>
      </c>
      <c r="D49" s="134" t="s">
        <v>179</v>
      </c>
      <c r="E49" s="135"/>
      <c r="F49" s="21">
        <f>'Stavební rozpočet'!J50</f>
        <v>0</v>
      </c>
      <c r="G49" s="21">
        <v>0</v>
      </c>
      <c r="H49" s="21">
        <f t="shared" si="5"/>
        <v>0</v>
      </c>
      <c r="I49" s="21">
        <f t="shared" si="6"/>
        <v>0</v>
      </c>
      <c r="J49" s="21">
        <f>'Stavební rozpočet'!F50</f>
        <v>5</v>
      </c>
      <c r="K49" s="21">
        <v>0</v>
      </c>
      <c r="L49" s="63">
        <v>5</v>
      </c>
      <c r="M49" s="70" t="str">
        <f t="shared" si="7"/>
        <v>Nefakturováno</v>
      </c>
      <c r="N49" s="21">
        <f t="shared" si="8"/>
        <v>0</v>
      </c>
      <c r="O49" s="75">
        <f t="shared" si="9"/>
        <v>-100</v>
      </c>
      <c r="P49" s="38"/>
      <c r="AE49" s="21">
        <v>0</v>
      </c>
    </row>
    <row r="50" spans="1:31" ht="12.75">
      <c r="A50" s="59"/>
      <c r="B50" s="14"/>
      <c r="C50" s="14" t="s">
        <v>104</v>
      </c>
      <c r="D50" s="136" t="s">
        <v>180</v>
      </c>
      <c r="E50" s="137"/>
      <c r="F50" s="46">
        <f>SUM(F51:F53)</f>
        <v>0</v>
      </c>
      <c r="G50" s="46">
        <f>SUM(G51:G53)</f>
        <v>0</v>
      </c>
      <c r="H50" s="46">
        <f t="shared" si="5"/>
        <v>0</v>
      </c>
      <c r="I50" s="46">
        <f t="shared" si="6"/>
        <v>0</v>
      </c>
      <c r="J50" s="46">
        <f>SUM(J51:J53)</f>
        <v>459</v>
      </c>
      <c r="K50" s="46">
        <f>SUM(K51:K53)</f>
        <v>0</v>
      </c>
      <c r="L50" s="68">
        <f>J50-K50</f>
        <v>459</v>
      </c>
      <c r="M50" s="71" t="str">
        <f t="shared" si="7"/>
        <v>Nefakturováno</v>
      </c>
      <c r="N50" s="46">
        <f t="shared" si="8"/>
        <v>0</v>
      </c>
      <c r="O50" s="76">
        <f t="shared" si="9"/>
        <v>-100</v>
      </c>
      <c r="P50" s="38"/>
      <c r="AE50" s="21">
        <v>0</v>
      </c>
    </row>
    <row r="51" spans="1:31" ht="12.75">
      <c r="A51" s="4" t="s">
        <v>34</v>
      </c>
      <c r="B51" s="13"/>
      <c r="C51" s="13" t="s">
        <v>105</v>
      </c>
      <c r="D51" s="134" t="s">
        <v>181</v>
      </c>
      <c r="E51" s="135"/>
      <c r="F51" s="21">
        <f>'Stavební rozpočet'!J52</f>
        <v>0</v>
      </c>
      <c r="G51" s="21">
        <v>0</v>
      </c>
      <c r="H51" s="21">
        <f t="shared" si="5"/>
        <v>0</v>
      </c>
      <c r="I51" s="21">
        <f t="shared" si="6"/>
        <v>0</v>
      </c>
      <c r="J51" s="21">
        <f>'Stavební rozpočet'!F52</f>
        <v>153</v>
      </c>
      <c r="K51" s="21">
        <v>0</v>
      </c>
      <c r="L51" s="63">
        <v>153</v>
      </c>
      <c r="M51" s="70" t="str">
        <f t="shared" si="7"/>
        <v>Nefakturováno</v>
      </c>
      <c r="N51" s="21">
        <f t="shared" si="8"/>
        <v>0</v>
      </c>
      <c r="O51" s="75">
        <f t="shared" si="9"/>
        <v>-100</v>
      </c>
      <c r="P51" s="38"/>
      <c r="AE51" s="21">
        <v>0</v>
      </c>
    </row>
    <row r="52" spans="1:31" ht="12.75">
      <c r="A52" s="4" t="s">
        <v>35</v>
      </c>
      <c r="B52" s="13"/>
      <c r="C52" s="13" t="s">
        <v>106</v>
      </c>
      <c r="D52" s="134" t="s">
        <v>182</v>
      </c>
      <c r="E52" s="135"/>
      <c r="F52" s="21">
        <f>'Stavební rozpočet'!J53</f>
        <v>0</v>
      </c>
      <c r="G52" s="21">
        <v>0</v>
      </c>
      <c r="H52" s="21">
        <f t="shared" si="5"/>
        <v>0</v>
      </c>
      <c r="I52" s="21">
        <f t="shared" si="6"/>
        <v>0</v>
      </c>
      <c r="J52" s="21">
        <f>'Stavební rozpočet'!F53</f>
        <v>153</v>
      </c>
      <c r="K52" s="21">
        <v>0</v>
      </c>
      <c r="L52" s="63">
        <v>153</v>
      </c>
      <c r="M52" s="70" t="str">
        <f t="shared" si="7"/>
        <v>Nefakturováno</v>
      </c>
      <c r="N52" s="21">
        <f t="shared" si="8"/>
        <v>0</v>
      </c>
      <c r="O52" s="75">
        <f t="shared" si="9"/>
        <v>-100</v>
      </c>
      <c r="P52" s="38"/>
      <c r="AE52" s="21">
        <v>0</v>
      </c>
    </row>
    <row r="53" spans="1:31" ht="12.75">
      <c r="A53" s="4" t="s">
        <v>36</v>
      </c>
      <c r="B53" s="13"/>
      <c r="C53" s="13" t="s">
        <v>107</v>
      </c>
      <c r="D53" s="134" t="s">
        <v>183</v>
      </c>
      <c r="E53" s="135"/>
      <c r="F53" s="21">
        <f>'Stavební rozpočet'!J54</f>
        <v>0</v>
      </c>
      <c r="G53" s="21">
        <v>0</v>
      </c>
      <c r="H53" s="21">
        <f t="shared" si="5"/>
        <v>0</v>
      </c>
      <c r="I53" s="21">
        <f t="shared" si="6"/>
        <v>0</v>
      </c>
      <c r="J53" s="21">
        <f>'Stavební rozpočet'!F54</f>
        <v>153</v>
      </c>
      <c r="K53" s="21">
        <v>0</v>
      </c>
      <c r="L53" s="63">
        <v>153</v>
      </c>
      <c r="M53" s="70" t="str">
        <f t="shared" si="7"/>
        <v>Nefakturováno</v>
      </c>
      <c r="N53" s="21">
        <f t="shared" si="8"/>
        <v>0</v>
      </c>
      <c r="O53" s="75">
        <f t="shared" si="9"/>
        <v>-100</v>
      </c>
      <c r="P53" s="38"/>
      <c r="AE53" s="21">
        <v>0</v>
      </c>
    </row>
    <row r="54" spans="1:31" ht="12.75">
      <c r="A54" s="59"/>
      <c r="B54" s="14"/>
      <c r="C54" s="14" t="s">
        <v>108</v>
      </c>
      <c r="D54" s="136" t="s">
        <v>184</v>
      </c>
      <c r="E54" s="137"/>
      <c r="F54" s="46">
        <f>SUM(F55:F58)</f>
        <v>0</v>
      </c>
      <c r="G54" s="46">
        <f>SUM(G55:G58)</f>
        <v>0</v>
      </c>
      <c r="H54" s="46">
        <f t="shared" si="5"/>
        <v>0</v>
      </c>
      <c r="I54" s="46">
        <f t="shared" si="6"/>
        <v>0</v>
      </c>
      <c r="J54" s="46">
        <f>SUM(J55:J58)</f>
        <v>22.1</v>
      </c>
      <c r="K54" s="46">
        <f>SUM(K55:K58)</f>
        <v>0</v>
      </c>
      <c r="L54" s="68">
        <f>J54-K54</f>
        <v>22.1</v>
      </c>
      <c r="M54" s="71" t="str">
        <f t="shared" si="7"/>
        <v>Nefakturováno</v>
      </c>
      <c r="N54" s="46">
        <f t="shared" si="8"/>
        <v>0</v>
      </c>
      <c r="O54" s="76">
        <f t="shared" si="9"/>
        <v>-100</v>
      </c>
      <c r="P54" s="38"/>
      <c r="AE54" s="21">
        <v>0</v>
      </c>
    </row>
    <row r="55" spans="1:31" ht="12.75">
      <c r="A55" s="4" t="s">
        <v>37</v>
      </c>
      <c r="B55" s="13"/>
      <c r="C55" s="13" t="s">
        <v>109</v>
      </c>
      <c r="D55" s="134" t="s">
        <v>185</v>
      </c>
      <c r="E55" s="135"/>
      <c r="F55" s="21">
        <f>'Stavební rozpočet'!J56</f>
        <v>0</v>
      </c>
      <c r="G55" s="21">
        <v>0</v>
      </c>
      <c r="H55" s="21">
        <f t="shared" si="5"/>
        <v>0</v>
      </c>
      <c r="I55" s="21">
        <f t="shared" si="6"/>
        <v>0</v>
      </c>
      <c r="J55" s="21">
        <f>'Stavební rozpočet'!F56</f>
        <v>3.2</v>
      </c>
      <c r="K55" s="21">
        <v>0</v>
      </c>
      <c r="L55" s="63">
        <v>3.2</v>
      </c>
      <c r="M55" s="70" t="str">
        <f t="shared" si="7"/>
        <v>Nefakturováno</v>
      </c>
      <c r="N55" s="21">
        <f t="shared" si="8"/>
        <v>0</v>
      </c>
      <c r="O55" s="75">
        <f t="shared" si="9"/>
        <v>-100</v>
      </c>
      <c r="P55" s="38"/>
      <c r="AE55" s="21">
        <v>0</v>
      </c>
    </row>
    <row r="56" spans="1:31" ht="12.75">
      <c r="A56" s="4" t="s">
        <v>38</v>
      </c>
      <c r="B56" s="13"/>
      <c r="C56" s="13" t="s">
        <v>110</v>
      </c>
      <c r="D56" s="134" t="s">
        <v>186</v>
      </c>
      <c r="E56" s="135"/>
      <c r="F56" s="21">
        <f>'Stavební rozpočet'!J57</f>
        <v>0</v>
      </c>
      <c r="G56" s="21">
        <v>0</v>
      </c>
      <c r="H56" s="21">
        <f t="shared" si="5"/>
        <v>0</v>
      </c>
      <c r="I56" s="21">
        <f t="shared" si="6"/>
        <v>0</v>
      </c>
      <c r="J56" s="21">
        <f>'Stavební rozpočet'!F57</f>
        <v>3.2</v>
      </c>
      <c r="K56" s="21">
        <v>0</v>
      </c>
      <c r="L56" s="63">
        <v>3.2</v>
      </c>
      <c r="M56" s="70" t="str">
        <f t="shared" si="7"/>
        <v>Nefakturováno</v>
      </c>
      <c r="N56" s="21">
        <f t="shared" si="8"/>
        <v>0</v>
      </c>
      <c r="O56" s="75">
        <f t="shared" si="9"/>
        <v>-100</v>
      </c>
      <c r="P56" s="38"/>
      <c r="AE56" s="21">
        <v>0</v>
      </c>
    </row>
    <row r="57" spans="1:31" ht="12.75">
      <c r="A57" s="4" t="s">
        <v>39</v>
      </c>
      <c r="B57" s="13"/>
      <c r="C57" s="13" t="s">
        <v>111</v>
      </c>
      <c r="D57" s="134" t="s">
        <v>187</v>
      </c>
      <c r="E57" s="135"/>
      <c r="F57" s="21">
        <f>'Stavební rozpočet'!J58</f>
        <v>0</v>
      </c>
      <c r="G57" s="21">
        <v>0</v>
      </c>
      <c r="H57" s="21">
        <f t="shared" si="5"/>
        <v>0</v>
      </c>
      <c r="I57" s="21">
        <f t="shared" si="6"/>
        <v>0</v>
      </c>
      <c r="J57" s="21">
        <f>'Stavební rozpočet'!F58</f>
        <v>3.2</v>
      </c>
      <c r="K57" s="21">
        <v>0</v>
      </c>
      <c r="L57" s="63">
        <v>3.2</v>
      </c>
      <c r="M57" s="70" t="str">
        <f t="shared" si="7"/>
        <v>Nefakturováno</v>
      </c>
      <c r="N57" s="21">
        <f t="shared" si="8"/>
        <v>0</v>
      </c>
      <c r="O57" s="75">
        <f t="shared" si="9"/>
        <v>-100</v>
      </c>
      <c r="P57" s="38"/>
      <c r="AE57" s="21">
        <v>0</v>
      </c>
    </row>
    <row r="58" spans="1:31" ht="12.75">
      <c r="A58" s="4" t="s">
        <v>40</v>
      </c>
      <c r="B58" s="13"/>
      <c r="C58" s="13" t="s">
        <v>112</v>
      </c>
      <c r="D58" s="134" t="s">
        <v>188</v>
      </c>
      <c r="E58" s="135"/>
      <c r="F58" s="21">
        <f>'Stavební rozpočet'!J59</f>
        <v>0</v>
      </c>
      <c r="G58" s="21">
        <v>0</v>
      </c>
      <c r="H58" s="21">
        <f t="shared" si="5"/>
        <v>0</v>
      </c>
      <c r="I58" s="21">
        <f t="shared" si="6"/>
        <v>0</v>
      </c>
      <c r="J58" s="21">
        <f>'Stavební rozpočet'!F59</f>
        <v>12.5</v>
      </c>
      <c r="K58" s="21">
        <v>0</v>
      </c>
      <c r="L58" s="63">
        <v>12.5</v>
      </c>
      <c r="M58" s="70" t="str">
        <f t="shared" si="7"/>
        <v>Nefakturováno</v>
      </c>
      <c r="N58" s="21">
        <f t="shared" si="8"/>
        <v>0</v>
      </c>
      <c r="O58" s="75">
        <f t="shared" si="9"/>
        <v>-100</v>
      </c>
      <c r="P58" s="38"/>
      <c r="AE58" s="21">
        <v>0</v>
      </c>
    </row>
    <row r="59" spans="1:31" ht="12.75">
      <c r="A59" s="59"/>
      <c r="B59" s="14"/>
      <c r="C59" s="14" t="s">
        <v>113</v>
      </c>
      <c r="D59" s="136" t="s">
        <v>189</v>
      </c>
      <c r="E59" s="137"/>
      <c r="F59" s="46">
        <f>SUM(F60:F61)</f>
        <v>0</v>
      </c>
      <c r="G59" s="46">
        <f>SUM(G60:G61)</f>
        <v>0</v>
      </c>
      <c r="H59" s="46">
        <f t="shared" si="5"/>
        <v>0</v>
      </c>
      <c r="I59" s="46">
        <f t="shared" si="6"/>
        <v>0</v>
      </c>
      <c r="J59" s="46">
        <f>SUM(J60:J61)</f>
        <v>5.16</v>
      </c>
      <c r="K59" s="46">
        <f>SUM(K60:K61)</f>
        <v>0</v>
      </c>
      <c r="L59" s="68">
        <f>J59-K59</f>
        <v>5.16</v>
      </c>
      <c r="M59" s="71" t="str">
        <f t="shared" si="7"/>
        <v>Nefakturováno</v>
      </c>
      <c r="N59" s="46">
        <f t="shared" si="8"/>
        <v>0</v>
      </c>
      <c r="O59" s="76">
        <f t="shared" si="9"/>
        <v>-100</v>
      </c>
      <c r="P59" s="38"/>
      <c r="AE59" s="21">
        <v>0</v>
      </c>
    </row>
    <row r="60" spans="1:31" ht="12.75">
      <c r="A60" s="4" t="s">
        <v>41</v>
      </c>
      <c r="B60" s="13"/>
      <c r="C60" s="13" t="s">
        <v>114</v>
      </c>
      <c r="D60" s="134" t="s">
        <v>190</v>
      </c>
      <c r="E60" s="135"/>
      <c r="F60" s="21">
        <f>'Stavební rozpočet'!J61</f>
        <v>0</v>
      </c>
      <c r="G60" s="21">
        <v>0</v>
      </c>
      <c r="H60" s="21">
        <f t="shared" si="5"/>
        <v>0</v>
      </c>
      <c r="I60" s="21">
        <f t="shared" si="6"/>
        <v>0</v>
      </c>
      <c r="J60" s="21">
        <f>'Stavební rozpočet'!F61</f>
        <v>1</v>
      </c>
      <c r="K60" s="21">
        <v>0</v>
      </c>
      <c r="L60" s="63">
        <v>1</v>
      </c>
      <c r="M60" s="70" t="str">
        <f t="shared" si="7"/>
        <v>Nefakturováno</v>
      </c>
      <c r="N60" s="21">
        <f t="shared" si="8"/>
        <v>0</v>
      </c>
      <c r="O60" s="75">
        <f t="shared" si="9"/>
        <v>-100</v>
      </c>
      <c r="P60" s="38"/>
      <c r="AE60" s="21">
        <v>0</v>
      </c>
    </row>
    <row r="61" spans="1:31" ht="12.75">
      <c r="A61" s="4" t="s">
        <v>42</v>
      </c>
      <c r="B61" s="13"/>
      <c r="C61" s="13" t="s">
        <v>115</v>
      </c>
      <c r="D61" s="134" t="s">
        <v>191</v>
      </c>
      <c r="E61" s="135"/>
      <c r="F61" s="21">
        <f>'Stavební rozpočet'!J62</f>
        <v>0</v>
      </c>
      <c r="G61" s="21">
        <v>0</v>
      </c>
      <c r="H61" s="21">
        <f t="shared" si="5"/>
        <v>0</v>
      </c>
      <c r="I61" s="21">
        <f t="shared" si="6"/>
        <v>0</v>
      </c>
      <c r="J61" s="21">
        <f>'Stavební rozpočet'!F62</f>
        <v>4.16</v>
      </c>
      <c r="K61" s="21">
        <v>0</v>
      </c>
      <c r="L61" s="63">
        <v>4.16</v>
      </c>
      <c r="M61" s="70" t="str">
        <f t="shared" si="7"/>
        <v>Nefakturováno</v>
      </c>
      <c r="N61" s="21">
        <f t="shared" si="8"/>
        <v>0</v>
      </c>
      <c r="O61" s="75">
        <f t="shared" si="9"/>
        <v>-100</v>
      </c>
      <c r="P61" s="38"/>
      <c r="AE61" s="21">
        <v>0</v>
      </c>
    </row>
    <row r="62" spans="1:31" ht="12.75">
      <c r="A62" s="59"/>
      <c r="B62" s="14"/>
      <c r="C62" s="14" t="s">
        <v>116</v>
      </c>
      <c r="D62" s="136" t="s">
        <v>192</v>
      </c>
      <c r="E62" s="137"/>
      <c r="F62" s="46">
        <f>SUM(F63:F63)</f>
        <v>0</v>
      </c>
      <c r="G62" s="46">
        <f>SUM(G63:G63)</f>
        <v>0</v>
      </c>
      <c r="H62" s="46">
        <f t="shared" si="5"/>
        <v>0</v>
      </c>
      <c r="I62" s="46">
        <f t="shared" si="6"/>
        <v>0</v>
      </c>
      <c r="J62" s="46">
        <f>SUM(J63:J63)</f>
        <v>1</v>
      </c>
      <c r="K62" s="46">
        <f>SUM(K63:K63)</f>
        <v>0</v>
      </c>
      <c r="L62" s="68">
        <f>J62-K62</f>
        <v>1</v>
      </c>
      <c r="M62" s="71" t="str">
        <f t="shared" si="7"/>
        <v>Nefakturováno</v>
      </c>
      <c r="N62" s="46">
        <f t="shared" si="8"/>
        <v>0</v>
      </c>
      <c r="O62" s="76">
        <f t="shared" si="9"/>
        <v>-100</v>
      </c>
      <c r="P62" s="38"/>
      <c r="AE62" s="21">
        <v>0</v>
      </c>
    </row>
    <row r="63" spans="1:31" ht="12.75">
      <c r="A63" s="4" t="s">
        <v>43</v>
      </c>
      <c r="B63" s="13"/>
      <c r="C63" s="13" t="s">
        <v>117</v>
      </c>
      <c r="D63" s="134" t="s">
        <v>193</v>
      </c>
      <c r="E63" s="135"/>
      <c r="F63" s="21">
        <f>'Stavební rozpočet'!J64</f>
        <v>0</v>
      </c>
      <c r="G63" s="21">
        <v>0</v>
      </c>
      <c r="H63" s="21">
        <f t="shared" si="5"/>
        <v>0</v>
      </c>
      <c r="I63" s="21">
        <f t="shared" si="6"/>
        <v>0</v>
      </c>
      <c r="J63" s="21">
        <f>'Stavební rozpočet'!F64</f>
        <v>1</v>
      </c>
      <c r="K63" s="21">
        <v>0</v>
      </c>
      <c r="L63" s="63">
        <v>1</v>
      </c>
      <c r="M63" s="70" t="str">
        <f t="shared" si="7"/>
        <v>Nefakturováno</v>
      </c>
      <c r="N63" s="21">
        <f t="shared" si="8"/>
        <v>0</v>
      </c>
      <c r="O63" s="75">
        <f t="shared" si="9"/>
        <v>-100</v>
      </c>
      <c r="P63" s="38"/>
      <c r="AE63" s="21">
        <v>0</v>
      </c>
    </row>
    <row r="64" spans="1:31" ht="12.75">
      <c r="A64" s="59"/>
      <c r="B64" s="14"/>
      <c r="C64" s="14" t="s">
        <v>118</v>
      </c>
      <c r="D64" s="136" t="s">
        <v>194</v>
      </c>
      <c r="E64" s="137"/>
      <c r="F64" s="46">
        <f>SUM(F65:F65)</f>
        <v>0</v>
      </c>
      <c r="G64" s="46">
        <f>SUM(G65:G65)</f>
        <v>0</v>
      </c>
      <c r="H64" s="46">
        <f t="shared" si="5"/>
        <v>0</v>
      </c>
      <c r="I64" s="46">
        <f t="shared" si="6"/>
        <v>0</v>
      </c>
      <c r="J64" s="46">
        <f>SUM(J65:J65)</f>
        <v>1</v>
      </c>
      <c r="K64" s="46">
        <f>SUM(K65:K65)</f>
        <v>0</v>
      </c>
      <c r="L64" s="68">
        <f>J64-K64</f>
        <v>1</v>
      </c>
      <c r="M64" s="71" t="str">
        <f t="shared" si="7"/>
        <v>Nefakturováno</v>
      </c>
      <c r="N64" s="46">
        <f t="shared" si="8"/>
        <v>0</v>
      </c>
      <c r="O64" s="76">
        <f t="shared" si="9"/>
        <v>-100</v>
      </c>
      <c r="P64" s="38"/>
      <c r="AE64" s="21">
        <v>0</v>
      </c>
    </row>
    <row r="65" spans="1:31" ht="12.75">
      <c r="A65" s="4" t="s">
        <v>44</v>
      </c>
      <c r="B65" s="13"/>
      <c r="C65" s="13" t="s">
        <v>119</v>
      </c>
      <c r="D65" s="134" t="s">
        <v>195</v>
      </c>
      <c r="E65" s="135"/>
      <c r="F65" s="21">
        <f>'Stavební rozpočet'!J66</f>
        <v>0</v>
      </c>
      <c r="G65" s="21">
        <v>0</v>
      </c>
      <c r="H65" s="21">
        <f t="shared" si="5"/>
        <v>0</v>
      </c>
      <c r="I65" s="21">
        <f t="shared" si="6"/>
        <v>0</v>
      </c>
      <c r="J65" s="21">
        <f>'Stavební rozpočet'!F66</f>
        <v>1</v>
      </c>
      <c r="K65" s="21">
        <v>0</v>
      </c>
      <c r="L65" s="63">
        <v>1</v>
      </c>
      <c r="M65" s="70" t="str">
        <f t="shared" si="7"/>
        <v>Nefakturováno</v>
      </c>
      <c r="N65" s="21">
        <f t="shared" si="8"/>
        <v>0</v>
      </c>
      <c r="O65" s="75">
        <f t="shared" si="9"/>
        <v>-100</v>
      </c>
      <c r="P65" s="38"/>
      <c r="AE65" s="21">
        <v>0</v>
      </c>
    </row>
    <row r="66" spans="1:31" ht="12.75">
      <c r="A66" s="59"/>
      <c r="B66" s="14"/>
      <c r="C66" s="14" t="s">
        <v>120</v>
      </c>
      <c r="D66" s="136" t="s">
        <v>196</v>
      </c>
      <c r="E66" s="137"/>
      <c r="F66" s="46">
        <f>SUM(F67:F70)</f>
        <v>0</v>
      </c>
      <c r="G66" s="46">
        <f>SUM(G67:G70)</f>
        <v>0</v>
      </c>
      <c r="H66" s="46">
        <f t="shared" si="5"/>
        <v>0</v>
      </c>
      <c r="I66" s="46">
        <f t="shared" si="6"/>
        <v>0</v>
      </c>
      <c r="J66" s="46">
        <f>SUM(J67:J70)</f>
        <v>8</v>
      </c>
      <c r="K66" s="46">
        <f>SUM(K67:K70)</f>
        <v>0</v>
      </c>
      <c r="L66" s="68">
        <f>J66-K66</f>
        <v>8</v>
      </c>
      <c r="M66" s="71" t="str">
        <f t="shared" si="7"/>
        <v>Nefakturováno</v>
      </c>
      <c r="N66" s="46">
        <f t="shared" si="8"/>
        <v>0</v>
      </c>
      <c r="O66" s="76">
        <f t="shared" si="9"/>
        <v>-100</v>
      </c>
      <c r="P66" s="38"/>
      <c r="AE66" s="21">
        <v>0</v>
      </c>
    </row>
    <row r="67" spans="1:31" ht="12.75">
      <c r="A67" s="4" t="s">
        <v>45</v>
      </c>
      <c r="B67" s="13"/>
      <c r="C67" s="13" t="s">
        <v>121</v>
      </c>
      <c r="D67" s="134" t="s">
        <v>197</v>
      </c>
      <c r="E67" s="135"/>
      <c r="F67" s="21">
        <f>'Stavební rozpočet'!J68</f>
        <v>0</v>
      </c>
      <c r="G67" s="21">
        <v>0</v>
      </c>
      <c r="H67" s="21">
        <f t="shared" si="5"/>
        <v>0</v>
      </c>
      <c r="I67" s="21">
        <f t="shared" si="6"/>
        <v>0</v>
      </c>
      <c r="J67" s="21">
        <f>'Stavební rozpočet'!F68</f>
        <v>1</v>
      </c>
      <c r="K67" s="21">
        <v>0</v>
      </c>
      <c r="L67" s="63">
        <v>1</v>
      </c>
      <c r="M67" s="70" t="str">
        <f t="shared" si="7"/>
        <v>Nefakturováno</v>
      </c>
      <c r="N67" s="21">
        <f t="shared" si="8"/>
        <v>0</v>
      </c>
      <c r="O67" s="75">
        <f t="shared" si="9"/>
        <v>-100</v>
      </c>
      <c r="P67" s="38"/>
      <c r="AE67" s="21">
        <v>0</v>
      </c>
    </row>
    <row r="68" spans="1:31" ht="12.75">
      <c r="A68" s="4" t="s">
        <v>46</v>
      </c>
      <c r="B68" s="13"/>
      <c r="C68" s="13" t="s">
        <v>122</v>
      </c>
      <c r="D68" s="134" t="s">
        <v>198</v>
      </c>
      <c r="E68" s="135"/>
      <c r="F68" s="21">
        <f>'Stavební rozpočet'!J69</f>
        <v>0</v>
      </c>
      <c r="G68" s="21">
        <v>0</v>
      </c>
      <c r="H68" s="21">
        <f t="shared" si="5"/>
        <v>0</v>
      </c>
      <c r="I68" s="21">
        <f t="shared" si="6"/>
        <v>0</v>
      </c>
      <c r="J68" s="21">
        <f>'Stavební rozpočet'!F69</f>
        <v>1</v>
      </c>
      <c r="K68" s="21">
        <v>0</v>
      </c>
      <c r="L68" s="63">
        <v>1</v>
      </c>
      <c r="M68" s="70" t="str">
        <f t="shared" si="7"/>
        <v>Nefakturováno</v>
      </c>
      <c r="N68" s="21">
        <f t="shared" si="8"/>
        <v>0</v>
      </c>
      <c r="O68" s="75">
        <f t="shared" si="9"/>
        <v>-100</v>
      </c>
      <c r="P68" s="38"/>
      <c r="AE68" s="21">
        <v>0</v>
      </c>
    </row>
    <row r="69" spans="1:31" ht="12.75">
      <c r="A69" s="4" t="s">
        <v>47</v>
      </c>
      <c r="B69" s="13"/>
      <c r="C69" s="13" t="s">
        <v>123</v>
      </c>
      <c r="D69" s="134" t="s">
        <v>199</v>
      </c>
      <c r="E69" s="135"/>
      <c r="F69" s="21">
        <f>'Stavební rozpočet'!J70</f>
        <v>0</v>
      </c>
      <c r="G69" s="21">
        <v>0</v>
      </c>
      <c r="H69" s="21">
        <f t="shared" si="5"/>
        <v>0</v>
      </c>
      <c r="I69" s="21">
        <f t="shared" si="6"/>
        <v>0</v>
      </c>
      <c r="J69" s="21">
        <f>'Stavební rozpočet'!F70</f>
        <v>1</v>
      </c>
      <c r="K69" s="21">
        <v>0</v>
      </c>
      <c r="L69" s="63">
        <v>1</v>
      </c>
      <c r="M69" s="70" t="str">
        <f t="shared" si="7"/>
        <v>Nefakturováno</v>
      </c>
      <c r="N69" s="21">
        <f t="shared" si="8"/>
        <v>0</v>
      </c>
      <c r="O69" s="75">
        <f t="shared" si="9"/>
        <v>-100</v>
      </c>
      <c r="P69" s="38"/>
      <c r="AE69" s="21">
        <v>0</v>
      </c>
    </row>
    <row r="70" spans="1:31" ht="12.75">
      <c r="A70" s="4" t="s">
        <v>48</v>
      </c>
      <c r="B70" s="13"/>
      <c r="C70" s="13" t="s">
        <v>124</v>
      </c>
      <c r="D70" s="134" t="s">
        <v>200</v>
      </c>
      <c r="E70" s="135"/>
      <c r="F70" s="21">
        <f>'Stavební rozpočet'!J71</f>
        <v>0</v>
      </c>
      <c r="G70" s="21">
        <v>0</v>
      </c>
      <c r="H70" s="21">
        <f t="shared" si="5"/>
        <v>0</v>
      </c>
      <c r="I70" s="21">
        <f t="shared" si="6"/>
        <v>0</v>
      </c>
      <c r="J70" s="21">
        <f>'Stavební rozpočet'!F71</f>
        <v>5</v>
      </c>
      <c r="K70" s="21">
        <v>0</v>
      </c>
      <c r="L70" s="63">
        <v>5</v>
      </c>
      <c r="M70" s="70" t="str">
        <f t="shared" si="7"/>
        <v>Nefakturováno</v>
      </c>
      <c r="N70" s="21">
        <f t="shared" si="8"/>
        <v>0</v>
      </c>
      <c r="O70" s="75">
        <f t="shared" si="9"/>
        <v>-100</v>
      </c>
      <c r="P70" s="38"/>
      <c r="AE70" s="21">
        <v>0</v>
      </c>
    </row>
    <row r="71" spans="1:31" ht="12.75">
      <c r="A71" s="59"/>
      <c r="B71" s="14"/>
      <c r="C71" s="14"/>
      <c r="D71" s="136" t="s">
        <v>201</v>
      </c>
      <c r="E71" s="137"/>
      <c r="F71" s="46">
        <f>SUM(F72:F85)</f>
        <v>0</v>
      </c>
      <c r="G71" s="46">
        <f>SUM(G72:G85)</f>
        <v>0</v>
      </c>
      <c r="H71" s="46">
        <f t="shared" si="5"/>
        <v>0</v>
      </c>
      <c r="I71" s="46">
        <f t="shared" si="6"/>
        <v>0</v>
      </c>
      <c r="J71" s="46">
        <f>SUM(J72:J85)</f>
        <v>23.5</v>
      </c>
      <c r="K71" s="46">
        <f>SUM(K72:K85)</f>
        <v>0</v>
      </c>
      <c r="L71" s="68">
        <f>J71-K71</f>
        <v>23.5</v>
      </c>
      <c r="M71" s="71" t="str">
        <f t="shared" si="7"/>
        <v>Nefakturováno</v>
      </c>
      <c r="N71" s="46">
        <f t="shared" si="8"/>
        <v>0</v>
      </c>
      <c r="O71" s="76">
        <f t="shared" si="9"/>
        <v>-100</v>
      </c>
      <c r="P71" s="38"/>
      <c r="AE71" s="21">
        <v>0</v>
      </c>
    </row>
    <row r="72" spans="1:31" ht="12.75">
      <c r="A72" s="6" t="s">
        <v>49</v>
      </c>
      <c r="B72" s="15"/>
      <c r="C72" s="15" t="s">
        <v>125</v>
      </c>
      <c r="D72" s="138" t="s">
        <v>202</v>
      </c>
      <c r="E72" s="139"/>
      <c r="F72" s="22">
        <f>'Stavební rozpočet'!J73</f>
        <v>0</v>
      </c>
      <c r="G72" s="22">
        <v>0</v>
      </c>
      <c r="H72" s="22">
        <f t="shared" si="5"/>
        <v>0</v>
      </c>
      <c r="I72" s="22">
        <f t="shared" si="6"/>
        <v>0</v>
      </c>
      <c r="J72" s="22">
        <f>'Stavební rozpočet'!F73</f>
        <v>7.5</v>
      </c>
      <c r="K72" s="22">
        <v>0</v>
      </c>
      <c r="L72" s="64">
        <v>7.5</v>
      </c>
      <c r="M72" s="72" t="str">
        <f t="shared" si="7"/>
        <v>Nefakturováno</v>
      </c>
      <c r="N72" s="22">
        <f t="shared" si="8"/>
        <v>0</v>
      </c>
      <c r="O72" s="77">
        <f t="shared" si="9"/>
        <v>-100</v>
      </c>
      <c r="P72" s="38"/>
      <c r="AE72" s="22">
        <v>0</v>
      </c>
    </row>
    <row r="73" spans="1:31" ht="12.75">
      <c r="A73" s="6" t="s">
        <v>50</v>
      </c>
      <c r="B73" s="15"/>
      <c r="C73" s="15" t="s">
        <v>126</v>
      </c>
      <c r="D73" s="138" t="s">
        <v>203</v>
      </c>
      <c r="E73" s="139"/>
      <c r="F73" s="22">
        <f>'Stavební rozpočet'!J74</f>
        <v>0</v>
      </c>
      <c r="G73" s="22">
        <v>0</v>
      </c>
      <c r="H73" s="22">
        <f t="shared" si="5"/>
        <v>0</v>
      </c>
      <c r="I73" s="22">
        <f t="shared" si="6"/>
        <v>0</v>
      </c>
      <c r="J73" s="22">
        <f>'Stavební rozpočet'!F74</f>
        <v>1</v>
      </c>
      <c r="K73" s="22">
        <v>0</v>
      </c>
      <c r="L73" s="64">
        <v>1</v>
      </c>
      <c r="M73" s="72" t="str">
        <f t="shared" si="7"/>
        <v>Nefakturováno</v>
      </c>
      <c r="N73" s="22">
        <f t="shared" si="8"/>
        <v>0</v>
      </c>
      <c r="O73" s="77">
        <f t="shared" si="9"/>
        <v>-100</v>
      </c>
      <c r="P73" s="38"/>
      <c r="AE73" s="22">
        <v>0</v>
      </c>
    </row>
    <row r="74" spans="1:31" ht="12.75">
      <c r="A74" s="6" t="s">
        <v>51</v>
      </c>
      <c r="B74" s="15"/>
      <c r="C74" s="15" t="s">
        <v>127</v>
      </c>
      <c r="D74" s="138" t="s">
        <v>204</v>
      </c>
      <c r="E74" s="139"/>
      <c r="F74" s="22">
        <f>'Stavební rozpočet'!J75</f>
        <v>0</v>
      </c>
      <c r="G74" s="22">
        <v>0</v>
      </c>
      <c r="H74" s="22">
        <f t="shared" si="5"/>
        <v>0</v>
      </c>
      <c r="I74" s="22">
        <f t="shared" si="6"/>
        <v>0</v>
      </c>
      <c r="J74" s="22">
        <f>'Stavební rozpočet'!F75</f>
        <v>1</v>
      </c>
      <c r="K74" s="22">
        <v>0</v>
      </c>
      <c r="L74" s="64">
        <v>1</v>
      </c>
      <c r="M74" s="72" t="str">
        <f t="shared" si="7"/>
        <v>Nefakturováno</v>
      </c>
      <c r="N74" s="22">
        <f t="shared" si="8"/>
        <v>0</v>
      </c>
      <c r="O74" s="77">
        <f t="shared" si="9"/>
        <v>-100</v>
      </c>
      <c r="P74" s="38"/>
      <c r="AE74" s="22">
        <v>0</v>
      </c>
    </row>
    <row r="75" spans="1:31" ht="12.75">
      <c r="A75" s="6" t="s">
        <v>52</v>
      </c>
      <c r="B75" s="15"/>
      <c r="C75" s="15" t="s">
        <v>128</v>
      </c>
      <c r="D75" s="138" t="s">
        <v>205</v>
      </c>
      <c r="E75" s="139"/>
      <c r="F75" s="22">
        <f>'Stavební rozpočet'!J76</f>
        <v>0</v>
      </c>
      <c r="G75" s="22">
        <v>0</v>
      </c>
      <c r="H75" s="22">
        <f aca="true" t="shared" si="10" ref="H75:H85">G75-F75</f>
        <v>0</v>
      </c>
      <c r="I75" s="22">
        <f aca="true" t="shared" si="11" ref="I75:I85">IF(F75=0,0,H75/F75*100)</f>
        <v>0</v>
      </c>
      <c r="J75" s="22">
        <f>'Stavební rozpočet'!F76</f>
        <v>1</v>
      </c>
      <c r="K75" s="22">
        <v>0</v>
      </c>
      <c r="L75" s="64">
        <v>1</v>
      </c>
      <c r="M75" s="72" t="str">
        <f aca="true" t="shared" si="12" ref="M75:M85">IF(G75=0,"Nefakturováno",AE75)</f>
        <v>Nefakturováno</v>
      </c>
      <c r="N75" s="22">
        <f aca="true" t="shared" si="13" ref="N75:N85">AE75-G75</f>
        <v>0</v>
      </c>
      <c r="O75" s="77">
        <f aca="true" t="shared" si="14" ref="O75:O85">IF(G75&lt;&gt;0,N75/G75*100,-100)</f>
        <v>-100</v>
      </c>
      <c r="P75" s="38"/>
      <c r="AE75" s="22">
        <v>0</v>
      </c>
    </row>
    <row r="76" spans="1:31" ht="12.75">
      <c r="A76" s="6" t="s">
        <v>53</v>
      </c>
      <c r="B76" s="15"/>
      <c r="C76" s="15" t="s">
        <v>129</v>
      </c>
      <c r="D76" s="138" t="s">
        <v>206</v>
      </c>
      <c r="E76" s="139"/>
      <c r="F76" s="22">
        <f>'Stavební rozpočet'!J77</f>
        <v>0</v>
      </c>
      <c r="G76" s="22">
        <v>0</v>
      </c>
      <c r="H76" s="22">
        <f t="shared" si="10"/>
        <v>0</v>
      </c>
      <c r="I76" s="22">
        <f t="shared" si="11"/>
        <v>0</v>
      </c>
      <c r="J76" s="22">
        <f>'Stavební rozpočet'!F77</f>
        <v>1</v>
      </c>
      <c r="K76" s="22">
        <v>0</v>
      </c>
      <c r="L76" s="64">
        <v>1</v>
      </c>
      <c r="M76" s="72" t="str">
        <f t="shared" si="12"/>
        <v>Nefakturováno</v>
      </c>
      <c r="N76" s="22">
        <f t="shared" si="13"/>
        <v>0</v>
      </c>
      <c r="O76" s="77">
        <f t="shared" si="14"/>
        <v>-100</v>
      </c>
      <c r="P76" s="38"/>
      <c r="AE76" s="22">
        <v>0</v>
      </c>
    </row>
    <row r="77" spans="1:31" ht="12.75">
      <c r="A77" s="6" t="s">
        <v>54</v>
      </c>
      <c r="B77" s="15"/>
      <c r="C77" s="15" t="s">
        <v>130</v>
      </c>
      <c r="D77" s="138" t="s">
        <v>207</v>
      </c>
      <c r="E77" s="139"/>
      <c r="F77" s="22">
        <f>'Stavební rozpočet'!J78</f>
        <v>0</v>
      </c>
      <c r="G77" s="22">
        <v>0</v>
      </c>
      <c r="H77" s="22">
        <f t="shared" si="10"/>
        <v>0</v>
      </c>
      <c r="I77" s="22">
        <f t="shared" si="11"/>
        <v>0</v>
      </c>
      <c r="J77" s="22">
        <f>'Stavební rozpočet'!F78</f>
        <v>1</v>
      </c>
      <c r="K77" s="22">
        <v>0</v>
      </c>
      <c r="L77" s="64">
        <v>1</v>
      </c>
      <c r="M77" s="72" t="str">
        <f t="shared" si="12"/>
        <v>Nefakturováno</v>
      </c>
      <c r="N77" s="22">
        <f t="shared" si="13"/>
        <v>0</v>
      </c>
      <c r="O77" s="77">
        <f t="shared" si="14"/>
        <v>-100</v>
      </c>
      <c r="P77" s="38"/>
      <c r="AE77" s="22">
        <v>0</v>
      </c>
    </row>
    <row r="78" spans="1:31" ht="12.75">
      <c r="A78" s="6" t="s">
        <v>55</v>
      </c>
      <c r="B78" s="15"/>
      <c r="C78" s="15" t="s">
        <v>131</v>
      </c>
      <c r="D78" s="138" t="s">
        <v>208</v>
      </c>
      <c r="E78" s="139"/>
      <c r="F78" s="22">
        <f>'Stavební rozpočet'!J79</f>
        <v>0</v>
      </c>
      <c r="G78" s="22">
        <v>0</v>
      </c>
      <c r="H78" s="22">
        <f t="shared" si="10"/>
        <v>0</v>
      </c>
      <c r="I78" s="22">
        <f t="shared" si="11"/>
        <v>0</v>
      </c>
      <c r="J78" s="22">
        <f>'Stavební rozpočet'!F79</f>
        <v>3</v>
      </c>
      <c r="K78" s="22">
        <v>0</v>
      </c>
      <c r="L78" s="64">
        <v>3</v>
      </c>
      <c r="M78" s="72" t="str">
        <f t="shared" si="12"/>
        <v>Nefakturováno</v>
      </c>
      <c r="N78" s="22">
        <f t="shared" si="13"/>
        <v>0</v>
      </c>
      <c r="O78" s="77">
        <f t="shared" si="14"/>
        <v>-100</v>
      </c>
      <c r="P78" s="38"/>
      <c r="AE78" s="22">
        <v>0</v>
      </c>
    </row>
    <row r="79" spans="1:31" ht="12.75">
      <c r="A79" s="6" t="s">
        <v>56</v>
      </c>
      <c r="B79" s="15"/>
      <c r="C79" s="15" t="s">
        <v>132</v>
      </c>
      <c r="D79" s="138" t="s">
        <v>209</v>
      </c>
      <c r="E79" s="139"/>
      <c r="F79" s="22">
        <f>'Stavební rozpočet'!J80</f>
        <v>0</v>
      </c>
      <c r="G79" s="22">
        <v>0</v>
      </c>
      <c r="H79" s="22">
        <f t="shared" si="10"/>
        <v>0</v>
      </c>
      <c r="I79" s="22">
        <f t="shared" si="11"/>
        <v>0</v>
      </c>
      <c r="J79" s="22">
        <f>'Stavební rozpočet'!F80</f>
        <v>1</v>
      </c>
      <c r="K79" s="22">
        <v>0</v>
      </c>
      <c r="L79" s="64">
        <v>1</v>
      </c>
      <c r="M79" s="72" t="str">
        <f t="shared" si="12"/>
        <v>Nefakturováno</v>
      </c>
      <c r="N79" s="22">
        <f t="shared" si="13"/>
        <v>0</v>
      </c>
      <c r="O79" s="77">
        <f t="shared" si="14"/>
        <v>-100</v>
      </c>
      <c r="P79" s="38"/>
      <c r="AE79" s="22">
        <v>0</v>
      </c>
    </row>
    <row r="80" spans="1:31" ht="12.75">
      <c r="A80" s="6" t="s">
        <v>57</v>
      </c>
      <c r="B80" s="15"/>
      <c r="C80" s="15" t="s">
        <v>133</v>
      </c>
      <c r="D80" s="138" t="s">
        <v>210</v>
      </c>
      <c r="E80" s="139"/>
      <c r="F80" s="22">
        <f>'Stavební rozpočet'!J81</f>
        <v>0</v>
      </c>
      <c r="G80" s="22">
        <v>0</v>
      </c>
      <c r="H80" s="22">
        <f t="shared" si="10"/>
        <v>0</v>
      </c>
      <c r="I80" s="22">
        <f t="shared" si="11"/>
        <v>0</v>
      </c>
      <c r="J80" s="22">
        <f>'Stavební rozpočet'!F81</f>
        <v>2</v>
      </c>
      <c r="K80" s="22">
        <v>0</v>
      </c>
      <c r="L80" s="64">
        <v>2</v>
      </c>
      <c r="M80" s="72" t="str">
        <f t="shared" si="12"/>
        <v>Nefakturováno</v>
      </c>
      <c r="N80" s="22">
        <f t="shared" si="13"/>
        <v>0</v>
      </c>
      <c r="O80" s="77">
        <f t="shared" si="14"/>
        <v>-100</v>
      </c>
      <c r="P80" s="38"/>
      <c r="AE80" s="22">
        <v>0</v>
      </c>
    </row>
    <row r="81" spans="1:31" ht="12.75">
      <c r="A81" s="6" t="s">
        <v>58</v>
      </c>
      <c r="B81" s="15"/>
      <c r="C81" s="15" t="s">
        <v>134</v>
      </c>
      <c r="D81" s="138" t="s">
        <v>211</v>
      </c>
      <c r="E81" s="139"/>
      <c r="F81" s="22">
        <f>'Stavební rozpočet'!J82</f>
        <v>0</v>
      </c>
      <c r="G81" s="22">
        <v>0</v>
      </c>
      <c r="H81" s="22">
        <f t="shared" si="10"/>
        <v>0</v>
      </c>
      <c r="I81" s="22">
        <f t="shared" si="11"/>
        <v>0</v>
      </c>
      <c r="J81" s="22">
        <f>'Stavební rozpočet'!F82</f>
        <v>1</v>
      </c>
      <c r="K81" s="22">
        <v>0</v>
      </c>
      <c r="L81" s="64">
        <v>1</v>
      </c>
      <c r="M81" s="72" t="str">
        <f t="shared" si="12"/>
        <v>Nefakturováno</v>
      </c>
      <c r="N81" s="22">
        <f t="shared" si="13"/>
        <v>0</v>
      </c>
      <c r="O81" s="77">
        <f t="shared" si="14"/>
        <v>-100</v>
      </c>
      <c r="P81" s="38"/>
      <c r="AE81" s="22">
        <v>0</v>
      </c>
    </row>
    <row r="82" spans="1:31" ht="12.75">
      <c r="A82" s="6" t="s">
        <v>59</v>
      </c>
      <c r="B82" s="15"/>
      <c r="C82" s="15" t="s">
        <v>134</v>
      </c>
      <c r="D82" s="138" t="s">
        <v>212</v>
      </c>
      <c r="E82" s="139"/>
      <c r="F82" s="22">
        <f>'Stavební rozpočet'!J83</f>
        <v>0</v>
      </c>
      <c r="G82" s="22">
        <v>0</v>
      </c>
      <c r="H82" s="22">
        <f t="shared" si="10"/>
        <v>0</v>
      </c>
      <c r="I82" s="22">
        <f t="shared" si="11"/>
        <v>0</v>
      </c>
      <c r="J82" s="22">
        <f>'Stavební rozpočet'!F83</f>
        <v>1</v>
      </c>
      <c r="K82" s="22">
        <v>0</v>
      </c>
      <c r="L82" s="64">
        <v>1</v>
      </c>
      <c r="M82" s="72" t="str">
        <f t="shared" si="12"/>
        <v>Nefakturováno</v>
      </c>
      <c r="N82" s="22">
        <f t="shared" si="13"/>
        <v>0</v>
      </c>
      <c r="O82" s="77">
        <f t="shared" si="14"/>
        <v>-100</v>
      </c>
      <c r="P82" s="38"/>
      <c r="AE82" s="22">
        <v>0</v>
      </c>
    </row>
    <row r="83" spans="1:31" ht="12.75">
      <c r="A83" s="6" t="s">
        <v>60</v>
      </c>
      <c r="B83" s="15"/>
      <c r="C83" s="15" t="s">
        <v>135</v>
      </c>
      <c r="D83" s="138" t="s">
        <v>213</v>
      </c>
      <c r="E83" s="139"/>
      <c r="F83" s="22">
        <f>'Stavební rozpočet'!J84</f>
        <v>0</v>
      </c>
      <c r="G83" s="22">
        <v>0</v>
      </c>
      <c r="H83" s="22">
        <f t="shared" si="10"/>
        <v>0</v>
      </c>
      <c r="I83" s="22">
        <f t="shared" si="11"/>
        <v>0</v>
      </c>
      <c r="J83" s="22">
        <f>'Stavební rozpočet'!F84</f>
        <v>1</v>
      </c>
      <c r="K83" s="22">
        <v>0</v>
      </c>
      <c r="L83" s="64">
        <v>1</v>
      </c>
      <c r="M83" s="72" t="str">
        <f t="shared" si="12"/>
        <v>Nefakturováno</v>
      </c>
      <c r="N83" s="22">
        <f t="shared" si="13"/>
        <v>0</v>
      </c>
      <c r="O83" s="77">
        <f t="shared" si="14"/>
        <v>-100</v>
      </c>
      <c r="P83" s="38"/>
      <c r="AE83" s="22">
        <v>0</v>
      </c>
    </row>
    <row r="84" spans="1:31" ht="12.75">
      <c r="A84" s="6" t="s">
        <v>61</v>
      </c>
      <c r="B84" s="15"/>
      <c r="C84" s="15" t="s">
        <v>136</v>
      </c>
      <c r="D84" s="138" t="s">
        <v>214</v>
      </c>
      <c r="E84" s="139"/>
      <c r="F84" s="22">
        <f>'Stavební rozpočet'!J85</f>
        <v>0</v>
      </c>
      <c r="G84" s="22">
        <v>0</v>
      </c>
      <c r="H84" s="22">
        <f t="shared" si="10"/>
        <v>0</v>
      </c>
      <c r="I84" s="22">
        <f t="shared" si="11"/>
        <v>0</v>
      </c>
      <c r="J84" s="22">
        <f>'Stavební rozpočet'!F85</f>
        <v>1</v>
      </c>
      <c r="K84" s="22">
        <v>0</v>
      </c>
      <c r="L84" s="64">
        <v>1</v>
      </c>
      <c r="M84" s="72" t="str">
        <f t="shared" si="12"/>
        <v>Nefakturováno</v>
      </c>
      <c r="N84" s="22">
        <f t="shared" si="13"/>
        <v>0</v>
      </c>
      <c r="O84" s="77">
        <f t="shared" si="14"/>
        <v>-100</v>
      </c>
      <c r="P84" s="38"/>
      <c r="AE84" s="22">
        <v>0</v>
      </c>
    </row>
    <row r="85" spans="1:31" ht="12.75">
      <c r="A85" s="7" t="s">
        <v>62</v>
      </c>
      <c r="B85" s="16"/>
      <c r="C85" s="16" t="s">
        <v>137</v>
      </c>
      <c r="D85" s="140" t="s">
        <v>215</v>
      </c>
      <c r="E85" s="141"/>
      <c r="F85" s="23">
        <f>'Stavební rozpočet'!J86</f>
        <v>0</v>
      </c>
      <c r="G85" s="23">
        <v>0</v>
      </c>
      <c r="H85" s="23">
        <f t="shared" si="10"/>
        <v>0</v>
      </c>
      <c r="I85" s="23">
        <f t="shared" si="11"/>
        <v>0</v>
      </c>
      <c r="J85" s="23">
        <f>'Stavební rozpočet'!F86</f>
        <v>1</v>
      </c>
      <c r="K85" s="23">
        <v>0</v>
      </c>
      <c r="L85" s="65">
        <v>1</v>
      </c>
      <c r="M85" s="73" t="str">
        <f t="shared" si="12"/>
        <v>Nefakturováno</v>
      </c>
      <c r="N85" s="23">
        <f t="shared" si="13"/>
        <v>0</v>
      </c>
      <c r="O85" s="78">
        <f t="shared" si="14"/>
        <v>-100</v>
      </c>
      <c r="P85" s="38"/>
      <c r="AE85" s="22">
        <v>0</v>
      </c>
    </row>
    <row r="86" spans="1:15" ht="12.75">
      <c r="A86" s="8"/>
      <c r="B86" s="8"/>
      <c r="C86" s="8"/>
      <c r="D86" s="8"/>
      <c r="E86" s="8"/>
      <c r="F86" s="97">
        <f>SUM(F11+F13+F16+F20+F24+F28+F33+F35+F37+F39+F44+F46+F50+F54+F59+F62+F64+F66+F71)</f>
        <v>0</v>
      </c>
      <c r="G86" s="8"/>
      <c r="H86" s="8"/>
      <c r="I86" s="8"/>
      <c r="J86" s="8"/>
      <c r="K86" s="8"/>
      <c r="L86" s="8"/>
      <c r="M86" s="8"/>
      <c r="N86" s="8"/>
      <c r="O86" s="8"/>
    </row>
    <row r="87" ht="11.25" customHeight="1">
      <c r="A87" s="9" t="s">
        <v>63</v>
      </c>
    </row>
    <row r="88" spans="1:10" ht="12.75">
      <c r="A88" s="142"/>
      <c r="B88" s="104"/>
      <c r="C88" s="104"/>
      <c r="D88" s="104"/>
      <c r="E88" s="104"/>
      <c r="F88" s="104"/>
      <c r="G88" s="104"/>
      <c r="H88" s="104"/>
      <c r="I88" s="104"/>
      <c r="J88" s="104"/>
    </row>
    <row r="89" spans="4:6" ht="12.75">
      <c r="D89" s="96"/>
      <c r="F89" s="94"/>
    </row>
    <row r="90" ht="12.75">
      <c r="F90" s="94"/>
    </row>
    <row r="91" spans="6:8" ht="12.75">
      <c r="F91" s="94"/>
      <c r="H91" s="94"/>
    </row>
    <row r="92" spans="4:8" ht="12.75">
      <c r="D92" s="96"/>
      <c r="F92" s="94"/>
      <c r="H92" s="94"/>
    </row>
    <row r="93" spans="4:8" ht="12.75">
      <c r="D93" s="96"/>
      <c r="F93" s="94"/>
      <c r="H93" s="94"/>
    </row>
    <row r="94" spans="6:8" ht="12.75">
      <c r="F94" s="95"/>
      <c r="G94" s="98"/>
      <c r="H94" s="95"/>
    </row>
  </sheetData>
  <sheetProtection/>
  <mergeCells count="102">
    <mergeCell ref="D82:E82"/>
    <mergeCell ref="D83:E83"/>
    <mergeCell ref="D84:E84"/>
    <mergeCell ref="D85:E85"/>
    <mergeCell ref="A88:J88"/>
    <mergeCell ref="D76:E76"/>
    <mergeCell ref="D77:E77"/>
    <mergeCell ref="D78:E78"/>
    <mergeCell ref="D79:E79"/>
    <mergeCell ref="D80:E80"/>
    <mergeCell ref="D81:E81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A8:A9"/>
    <mergeCell ref="B8:D9"/>
    <mergeCell ref="E8:E9"/>
    <mergeCell ref="F8:F9"/>
    <mergeCell ref="G8:G9"/>
    <mergeCell ref="H8:O9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G4:G5"/>
    <mergeCell ref="H4:O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4" zoomScaleNormal="84" zoomScalePageLayoutView="0" workbookViewId="0" topLeftCell="A1">
      <selection activeCell="I19" sqref="I1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93"/>
      <c r="B1" s="79"/>
      <c r="C1" s="143" t="s">
        <v>323</v>
      </c>
      <c r="D1" s="100"/>
      <c r="E1" s="100"/>
      <c r="F1" s="100"/>
      <c r="G1" s="100"/>
      <c r="H1" s="100"/>
      <c r="I1" s="100"/>
    </row>
    <row r="2" spans="1:10" ht="12.75">
      <c r="A2" s="101" t="s">
        <v>1</v>
      </c>
      <c r="B2" s="102"/>
      <c r="C2" s="105"/>
      <c r="D2" s="118"/>
      <c r="E2" s="108" t="s">
        <v>229</v>
      </c>
      <c r="F2" s="108" t="str">
        <f>'Stavební rozpočet'!I2</f>
        <v>Obec Horní Dvořiště</v>
      </c>
      <c r="G2" s="102"/>
      <c r="H2" s="108" t="s">
        <v>348</v>
      </c>
      <c r="I2" s="144"/>
      <c r="J2" s="38"/>
    </row>
    <row r="3" spans="1:10" ht="12.75">
      <c r="A3" s="103"/>
      <c r="B3" s="104"/>
      <c r="C3" s="106"/>
      <c r="D3" s="106"/>
      <c r="E3" s="104"/>
      <c r="F3" s="104"/>
      <c r="G3" s="104"/>
      <c r="H3" s="104"/>
      <c r="I3" s="110"/>
      <c r="J3" s="38"/>
    </row>
    <row r="4" spans="1:10" ht="12.75">
      <c r="A4" s="111" t="s">
        <v>2</v>
      </c>
      <c r="B4" s="104"/>
      <c r="C4" s="112" t="str">
        <f>'Stavební rozpočet'!D4</f>
        <v> </v>
      </c>
      <c r="D4" s="104"/>
      <c r="E4" s="112" t="s">
        <v>230</v>
      </c>
      <c r="F4" s="112" t="str">
        <f>'Stavební rozpočet'!I4</f>
        <v> </v>
      </c>
      <c r="G4" s="104"/>
      <c r="H4" s="112" t="s">
        <v>348</v>
      </c>
      <c r="I4" s="145"/>
      <c r="J4" s="38"/>
    </row>
    <row r="5" spans="1:10" ht="12.75">
      <c r="A5" s="103"/>
      <c r="B5" s="104"/>
      <c r="C5" s="104"/>
      <c r="D5" s="104"/>
      <c r="E5" s="104"/>
      <c r="F5" s="104"/>
      <c r="G5" s="104"/>
      <c r="H5" s="104"/>
      <c r="I5" s="110"/>
      <c r="J5" s="38"/>
    </row>
    <row r="6" spans="1:10" ht="12.75">
      <c r="A6" s="111" t="s">
        <v>3</v>
      </c>
      <c r="B6" s="104"/>
      <c r="C6" s="112" t="str">
        <f>'Stavební rozpočet'!D6</f>
        <v>Horní Dvořiště</v>
      </c>
      <c r="D6" s="104"/>
      <c r="E6" s="112" t="s">
        <v>231</v>
      </c>
      <c r="F6" s="112"/>
      <c r="G6" s="104"/>
      <c r="H6" s="112" t="s">
        <v>348</v>
      </c>
      <c r="I6" s="145"/>
      <c r="J6" s="38"/>
    </row>
    <row r="7" spans="1:10" ht="12.75">
      <c r="A7" s="103"/>
      <c r="B7" s="104"/>
      <c r="C7" s="104"/>
      <c r="D7" s="104"/>
      <c r="E7" s="104"/>
      <c r="F7" s="104"/>
      <c r="G7" s="104"/>
      <c r="H7" s="104"/>
      <c r="I7" s="110"/>
      <c r="J7" s="38"/>
    </row>
    <row r="8" spans="1:10" ht="12.75">
      <c r="A8" s="111" t="s">
        <v>217</v>
      </c>
      <c r="B8" s="104"/>
      <c r="C8" s="112"/>
      <c r="D8" s="104"/>
      <c r="E8" s="112" t="s">
        <v>218</v>
      </c>
      <c r="F8" s="112" t="str">
        <f>'Stavební rozpočet'!G6</f>
        <v> </v>
      </c>
      <c r="G8" s="104"/>
      <c r="H8" s="113" t="s">
        <v>349</v>
      </c>
      <c r="I8" s="145"/>
      <c r="J8" s="38"/>
    </row>
    <row r="9" spans="1:10" ht="12.75">
      <c r="A9" s="103"/>
      <c r="B9" s="104"/>
      <c r="C9" s="104"/>
      <c r="D9" s="104"/>
      <c r="E9" s="104"/>
      <c r="F9" s="104"/>
      <c r="G9" s="104"/>
      <c r="H9" s="104"/>
      <c r="I9" s="110"/>
      <c r="J9" s="38"/>
    </row>
    <row r="10" spans="1:10" ht="12.75">
      <c r="A10" s="111" t="s">
        <v>4</v>
      </c>
      <c r="B10" s="104"/>
      <c r="C10" s="112" t="str">
        <f>'Stavební rozpočet'!D8</f>
        <v> </v>
      </c>
      <c r="D10" s="104"/>
      <c r="E10" s="112" t="s">
        <v>232</v>
      </c>
      <c r="F10" s="112"/>
      <c r="G10" s="104"/>
      <c r="H10" s="113" t="s">
        <v>350</v>
      </c>
      <c r="I10" s="146"/>
      <c r="J10" s="38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9"/>
      <c r="J11" s="38"/>
    </row>
    <row r="12" spans="1:9" ht="23.25" customHeight="1">
      <c r="A12" s="147" t="s">
        <v>309</v>
      </c>
      <c r="B12" s="148"/>
      <c r="C12" s="148"/>
      <c r="D12" s="148"/>
      <c r="E12" s="148"/>
      <c r="F12" s="148"/>
      <c r="G12" s="148"/>
      <c r="H12" s="148"/>
      <c r="I12" s="148"/>
    </row>
    <row r="13" spans="1:10" ht="26.25" customHeight="1">
      <c r="A13" s="80" t="s">
        <v>310</v>
      </c>
      <c r="B13" s="149" t="s">
        <v>321</v>
      </c>
      <c r="C13" s="150"/>
      <c r="D13" s="80" t="s">
        <v>324</v>
      </c>
      <c r="E13" s="149" t="s">
        <v>333</v>
      </c>
      <c r="F13" s="150"/>
      <c r="G13" s="80" t="s">
        <v>334</v>
      </c>
      <c r="H13" s="149" t="s">
        <v>351</v>
      </c>
      <c r="I13" s="150"/>
      <c r="J13" s="38"/>
    </row>
    <row r="14" spans="1:10" ht="15" customHeight="1">
      <c r="A14" s="81" t="s">
        <v>311</v>
      </c>
      <c r="B14" s="84" t="s">
        <v>322</v>
      </c>
      <c r="C14" s="87">
        <f>SUM('Stavební rozpočet'!AB12:AB86)</f>
        <v>0</v>
      </c>
      <c r="D14" s="151" t="s">
        <v>325</v>
      </c>
      <c r="E14" s="152"/>
      <c r="F14" s="87">
        <v>0</v>
      </c>
      <c r="G14" s="151" t="s">
        <v>335</v>
      </c>
      <c r="H14" s="152"/>
      <c r="I14" s="87">
        <v>0</v>
      </c>
      <c r="J14" s="38"/>
    </row>
    <row r="15" spans="1:10" ht="15" customHeight="1">
      <c r="A15" s="82"/>
      <c r="B15" s="84" t="s">
        <v>238</v>
      </c>
      <c r="C15" s="87">
        <f>SUM('Stavební rozpočet'!AC12:AC86)</f>
        <v>0</v>
      </c>
      <c r="D15" s="151" t="s">
        <v>326</v>
      </c>
      <c r="E15" s="152"/>
      <c r="F15" s="87">
        <v>0</v>
      </c>
      <c r="G15" s="151" t="s">
        <v>336</v>
      </c>
      <c r="H15" s="152"/>
      <c r="I15" s="87">
        <v>0</v>
      </c>
      <c r="J15" s="38"/>
    </row>
    <row r="16" spans="1:10" ht="15" customHeight="1">
      <c r="A16" s="81" t="s">
        <v>312</v>
      </c>
      <c r="B16" s="84" t="s">
        <v>322</v>
      </c>
      <c r="C16" s="87">
        <f>SUM('Stavební rozpočet'!AD12:AD86)</f>
        <v>0</v>
      </c>
      <c r="D16" s="151" t="s">
        <v>327</v>
      </c>
      <c r="E16" s="152"/>
      <c r="F16" s="87">
        <v>0</v>
      </c>
      <c r="G16" s="151" t="s">
        <v>337</v>
      </c>
      <c r="H16" s="152"/>
      <c r="I16" s="87">
        <v>0</v>
      </c>
      <c r="J16" s="38"/>
    </row>
    <row r="17" spans="1:10" ht="15" customHeight="1">
      <c r="A17" s="82"/>
      <c r="B17" s="84" t="s">
        <v>238</v>
      </c>
      <c r="C17" s="87">
        <f>SUM('Stavební rozpočet'!AE12:AE86)</f>
        <v>0</v>
      </c>
      <c r="D17" s="151"/>
      <c r="E17" s="152"/>
      <c r="F17" s="88"/>
      <c r="G17" s="151" t="s">
        <v>338</v>
      </c>
      <c r="H17" s="152"/>
      <c r="I17" s="87">
        <v>0</v>
      </c>
      <c r="J17" s="38"/>
    </row>
    <row r="18" spans="1:10" ht="15" customHeight="1">
      <c r="A18" s="81" t="s">
        <v>313</v>
      </c>
      <c r="B18" s="84" t="s">
        <v>322</v>
      </c>
      <c r="C18" s="87">
        <f>SUM('Stavební rozpočet'!AF12:AF86)</f>
        <v>0</v>
      </c>
      <c r="D18" s="151"/>
      <c r="E18" s="152"/>
      <c r="F18" s="88"/>
      <c r="G18" s="151" t="s">
        <v>339</v>
      </c>
      <c r="H18" s="152"/>
      <c r="I18" s="87">
        <v>0</v>
      </c>
      <c r="J18" s="38"/>
    </row>
    <row r="19" spans="1:10" ht="15" customHeight="1">
      <c r="A19" s="82"/>
      <c r="B19" s="84" t="s">
        <v>238</v>
      </c>
      <c r="C19" s="87">
        <f>SUM('Stavební rozpočet'!AG12:AG86)</f>
        <v>0</v>
      </c>
      <c r="D19" s="151"/>
      <c r="E19" s="152"/>
      <c r="F19" s="88"/>
      <c r="G19" s="151" t="s">
        <v>340</v>
      </c>
      <c r="H19" s="152"/>
      <c r="I19" s="87">
        <v>0</v>
      </c>
      <c r="J19" s="38"/>
    </row>
    <row r="20" spans="1:10" ht="15" customHeight="1">
      <c r="A20" s="153" t="s">
        <v>201</v>
      </c>
      <c r="B20" s="154"/>
      <c r="C20" s="87">
        <f>SUM('Stavební rozpočet'!AH12:AH86)</f>
        <v>0</v>
      </c>
      <c r="D20" s="151"/>
      <c r="E20" s="152"/>
      <c r="F20" s="88"/>
      <c r="G20" s="151"/>
      <c r="H20" s="152"/>
      <c r="I20" s="88"/>
      <c r="J20" s="38"/>
    </row>
    <row r="21" spans="1:10" ht="15" customHeight="1">
      <c r="A21" s="153" t="s">
        <v>314</v>
      </c>
      <c r="B21" s="154"/>
      <c r="C21" s="87">
        <f>SUM('Stavební rozpočet'!Z12:Z86)</f>
        <v>0</v>
      </c>
      <c r="D21" s="151"/>
      <c r="E21" s="152"/>
      <c r="F21" s="88"/>
      <c r="G21" s="151"/>
      <c r="H21" s="152"/>
      <c r="I21" s="88"/>
      <c r="J21" s="38"/>
    </row>
    <row r="22" spans="1:10" ht="16.5" customHeight="1">
      <c r="A22" s="153" t="s">
        <v>315</v>
      </c>
      <c r="B22" s="154"/>
      <c r="C22" s="87">
        <f>SUM(C14:C21)</f>
        <v>0</v>
      </c>
      <c r="D22" s="153" t="s">
        <v>328</v>
      </c>
      <c r="E22" s="154"/>
      <c r="F22" s="87">
        <f>SUM(F14:F21)</f>
        <v>0</v>
      </c>
      <c r="G22" s="153" t="s">
        <v>341</v>
      </c>
      <c r="H22" s="154"/>
      <c r="I22" s="87">
        <v>0</v>
      </c>
      <c r="J22" s="38"/>
    </row>
    <row r="23" spans="1:10" ht="15" customHeight="1">
      <c r="A23" s="8"/>
      <c r="B23" s="8"/>
      <c r="C23" s="85"/>
      <c r="D23" s="153" t="s">
        <v>329</v>
      </c>
      <c r="E23" s="154"/>
      <c r="F23" s="89">
        <v>0</v>
      </c>
      <c r="G23" s="153" t="s">
        <v>342</v>
      </c>
      <c r="H23" s="154"/>
      <c r="I23" s="87">
        <v>0</v>
      </c>
      <c r="J23" s="38"/>
    </row>
    <row r="24" spans="4:10" ht="15" customHeight="1">
      <c r="D24" s="8"/>
      <c r="E24" s="8"/>
      <c r="F24" s="90"/>
      <c r="G24" s="153" t="s">
        <v>343</v>
      </c>
      <c r="H24" s="154"/>
      <c r="I24" s="87">
        <v>0</v>
      </c>
      <c r="J24" s="38"/>
    </row>
    <row r="25" spans="6:10" ht="15" customHeight="1">
      <c r="F25" s="91"/>
      <c r="G25" s="153" t="s">
        <v>344</v>
      </c>
      <c r="H25" s="154"/>
      <c r="I25" s="87">
        <v>0</v>
      </c>
      <c r="J25" s="38"/>
    </row>
    <row r="26" spans="1:9" ht="12.75">
      <c r="A26" s="79"/>
      <c r="B26" s="79"/>
      <c r="C26" s="79"/>
      <c r="G26" s="8"/>
      <c r="H26" s="8"/>
      <c r="I26" s="8"/>
    </row>
    <row r="27" spans="1:9" ht="15" customHeight="1">
      <c r="A27" s="155" t="s">
        <v>316</v>
      </c>
      <c r="B27" s="156"/>
      <c r="C27" s="92">
        <f>SUM('Stavební rozpočet'!AJ12:AJ86)</f>
        <v>0</v>
      </c>
      <c r="D27" s="86"/>
      <c r="E27" s="79"/>
      <c r="F27" s="79"/>
      <c r="G27" s="79"/>
      <c r="H27" s="79"/>
      <c r="I27" s="79"/>
    </row>
    <row r="28" spans="1:10" ht="15" customHeight="1">
      <c r="A28" s="155" t="s">
        <v>317</v>
      </c>
      <c r="B28" s="156"/>
      <c r="C28" s="92">
        <v>0</v>
      </c>
      <c r="D28" s="155" t="s">
        <v>330</v>
      </c>
      <c r="E28" s="156"/>
      <c r="F28" s="92">
        <f>ROUND(C28*(15/100),2)</f>
        <v>0</v>
      </c>
      <c r="G28" s="155" t="s">
        <v>345</v>
      </c>
      <c r="H28" s="156"/>
      <c r="I28" s="92">
        <f>SUM(C27:C29)</f>
        <v>0</v>
      </c>
      <c r="J28" s="38"/>
    </row>
    <row r="29" spans="1:10" ht="15" customHeight="1">
      <c r="A29" s="155" t="s">
        <v>318</v>
      </c>
      <c r="B29" s="156"/>
      <c r="C29" s="92">
        <f>SUM('Stavební rozpočet'!AL12:AL86)</f>
        <v>0</v>
      </c>
      <c r="D29" s="155" t="s">
        <v>331</v>
      </c>
      <c r="E29" s="156"/>
      <c r="F29" s="92">
        <f>ROUND(C29*(21/100),2)</f>
        <v>0</v>
      </c>
      <c r="G29" s="155" t="s">
        <v>346</v>
      </c>
      <c r="H29" s="156"/>
      <c r="I29" s="92">
        <f>SUM(F28:F29)+I28</f>
        <v>0</v>
      </c>
      <c r="J29" s="38"/>
    </row>
    <row r="30" spans="1:9" ht="12.75">
      <c r="A30" s="83"/>
      <c r="B30" s="83"/>
      <c r="C30" s="83"/>
      <c r="D30" s="83"/>
      <c r="E30" s="83"/>
      <c r="F30" s="83"/>
      <c r="G30" s="83"/>
      <c r="H30" s="83"/>
      <c r="I30" s="83"/>
    </row>
    <row r="31" spans="1:10" ht="14.25" customHeight="1">
      <c r="A31" s="157" t="s">
        <v>319</v>
      </c>
      <c r="B31" s="158"/>
      <c r="C31" s="159"/>
      <c r="D31" s="157" t="s">
        <v>332</v>
      </c>
      <c r="E31" s="158"/>
      <c r="F31" s="159"/>
      <c r="G31" s="157" t="s">
        <v>347</v>
      </c>
      <c r="H31" s="158"/>
      <c r="I31" s="159"/>
      <c r="J31" s="39"/>
    </row>
    <row r="32" spans="1:10" ht="14.25" customHeight="1">
      <c r="A32" s="160"/>
      <c r="B32" s="161"/>
      <c r="C32" s="162"/>
      <c r="D32" s="160"/>
      <c r="E32" s="161"/>
      <c r="F32" s="162"/>
      <c r="G32" s="160"/>
      <c r="H32" s="161"/>
      <c r="I32" s="162"/>
      <c r="J32" s="39"/>
    </row>
    <row r="33" spans="1:10" ht="14.25" customHeight="1">
      <c r="A33" s="160"/>
      <c r="B33" s="161"/>
      <c r="C33" s="162"/>
      <c r="D33" s="160"/>
      <c r="E33" s="161"/>
      <c r="F33" s="162"/>
      <c r="G33" s="160"/>
      <c r="H33" s="161"/>
      <c r="I33" s="162"/>
      <c r="J33" s="39"/>
    </row>
    <row r="34" spans="1:10" ht="14.25" customHeight="1">
      <c r="A34" s="160"/>
      <c r="B34" s="161"/>
      <c r="C34" s="162"/>
      <c r="D34" s="160"/>
      <c r="E34" s="161"/>
      <c r="F34" s="162"/>
      <c r="G34" s="160"/>
      <c r="H34" s="161"/>
      <c r="I34" s="162"/>
      <c r="J34" s="39"/>
    </row>
    <row r="35" spans="1:10" ht="14.25" customHeight="1">
      <c r="A35" s="163" t="s">
        <v>320</v>
      </c>
      <c r="B35" s="164"/>
      <c r="C35" s="165"/>
      <c r="D35" s="163" t="s">
        <v>320</v>
      </c>
      <c r="E35" s="164"/>
      <c r="F35" s="165"/>
      <c r="G35" s="163" t="s">
        <v>320</v>
      </c>
      <c r="H35" s="164"/>
      <c r="I35" s="165"/>
      <c r="J35" s="39"/>
    </row>
    <row r="36" spans="1:9" ht="11.25" customHeight="1">
      <c r="A36" s="53" t="s">
        <v>63</v>
      </c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112"/>
      <c r="B37" s="104"/>
      <c r="C37" s="104"/>
      <c r="D37" s="104"/>
      <c r="E37" s="104"/>
      <c r="F37" s="104"/>
      <c r="G37" s="104"/>
      <c r="H37" s="104"/>
      <c r="I37" s="10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Obec Horní Dvořiště</cp:lastModifiedBy>
  <dcterms:created xsi:type="dcterms:W3CDTF">2024-01-05T06:34:46Z</dcterms:created>
  <dcterms:modified xsi:type="dcterms:W3CDTF">2024-02-19T11:15:52Z</dcterms:modified>
  <cp:category/>
  <cp:version/>
  <cp:contentType/>
  <cp:contentStatus/>
</cp:coreProperties>
</file>